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THEVENET Thierry\CDTSL\SAISONS SPORTIVES\Championnats saison 2017-2018\C - Championnats de saone et loire des clubs 10 metres EDT + ADULTES\"/>
    </mc:Choice>
  </mc:AlternateContent>
  <bookViews>
    <workbookView xWindow="690" yWindow="0" windowWidth="23250" windowHeight="13170" tabRatio="903" activeTab="4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C22" i="22"/>
  <c r="Q14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A8" i="21"/>
  <c r="B8" i="21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B7" i="21"/>
  <c r="C16" i="22"/>
  <c r="B25" i="38"/>
  <c r="A18" i="21"/>
  <c r="B18" i="21"/>
  <c r="R16" i="22"/>
  <c r="G25" i="38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M16" i="22"/>
  <c r="B36" i="38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H16" i="22"/>
  <c r="G36" i="38"/>
  <c r="Q46" i="38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L46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L67" i="38"/>
  <c r="Q67" i="38"/>
  <c r="K71" i="38"/>
  <c r="K72" i="38"/>
  <c r="K73" i="38"/>
  <c r="K74" i="38"/>
  <c r="K75" i="38"/>
  <c r="K76" i="38"/>
  <c r="K77" i="38"/>
  <c r="L71" i="38"/>
  <c r="T71" i="38"/>
  <c r="T72" i="38"/>
  <c r="T73" i="38"/>
  <c r="T74" i="38"/>
  <c r="T75" i="38"/>
  <c r="T76" i="38"/>
  <c r="T77" i="38"/>
  <c r="R71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L80" i="38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O84" i="38"/>
  <c r="O85" i="38"/>
  <c r="O86" i="38"/>
  <c r="O87" i="38"/>
  <c r="O88" i="38"/>
  <c r="O89" i="38"/>
  <c r="O90" i="38"/>
  <c r="M84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<sst xmlns="http://schemas.openxmlformats.org/spreadsheetml/2006/main" count="183" uniqueCount="78">
  <si>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</si>
  <si>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</si>
  <si>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</si>
  <si>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</si>
  <si>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</si>
  <si>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</si>
  <si>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</si>
  <si>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</si>
  <si>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</si>
  <si>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</si>
  <si>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</si>
  <si>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</si>
  <si>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</si>
  <si>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</si>
  <si>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</si>
  <si>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</si>
  <si>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</si>
  <si>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</si>
  <si>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</si>
  <si>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</si>
  <si>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</si>
  <si>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</si>
  <si>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</si>
  <si>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</si>
  <si>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</si>
  <si>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</si>
  <si>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</si>
  <si>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</si>
  <si>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</si>
  <si>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</si>
  <si>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</si>
  <si>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</si>
  <si>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</si>
  <si>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</si>
  <si>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</si>
  <si>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</si>
  <si>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</si>
  <si>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</si>
  <si>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</si>
  <si>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</si>
  <si>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</si>
  <si>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</si>
  <si>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</si>
  <si>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</si>
  <si>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</si>
  <si>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</si>
  <si>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</si>
  <si>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</si>
  <si>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</si>
  <si>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</si>
  <si>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</si>
  <si>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</si>
  <si>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</si>
  <si>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</si>
  <si>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</si>
  <si>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</si>
  <si>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</si>
  <si>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</si>
  <si>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</si>
  <si>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</si>
  <si>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</si>
  <si>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</si>
  <si>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</si>
  <si>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</si>
  <si>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</si>
  <si>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CHATENOY LE ROYAL</t>
  </si>
  <si>
    <t>17-18</t>
  </si>
  <si>
    <t>BOURGOGNE</t>
  </si>
  <si>
    <t>THEVENET THIERRY</t>
  </si>
  <si>
    <t>comitetir71@orange.fr</t>
  </si>
  <si>
    <t>STEP CHALON S/SAONE</t>
  </si>
  <si>
    <t>BOUTON ALIX</t>
  </si>
  <si>
    <t>SURGOT CELIA</t>
  </si>
  <si>
    <t>GIBELY ANGE</t>
  </si>
  <si>
    <t>GARNIER MARIUS</t>
  </si>
  <si>
    <t>ANDRE JADE</t>
  </si>
  <si>
    <t>TS CHATENOY LE ROYAL</t>
  </si>
  <si>
    <t>FRANCOIS LOUY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</si>
</sst>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topLeftCell="A7" zoomScaleSheetLayoutView="100" workbookViewId="0">
      <selection activeCell="B4" sqref="B4"/>
    </sheetView>
  </sheetViews>
  <sheetFormatPr baseColWidth="10" defaultColWidth="10.75" defaultRowHeight="12.75" x14ac:dyDescent="0.2"/>
  <cols>
    <col min="1" max="1" width="16.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7.15" customHeight="1" x14ac:dyDescent="0.2">
      <c r="A1" s="184" t="s">
        <v>3</v>
      </c>
      <c r="B1" s="185"/>
      <c r="C1" s="185"/>
    </row>
    <row r="2" spans="1:3" ht="25.15" customHeight="1" x14ac:dyDescent="0.2">
      <c r="A2" s="186" t="s">
        <v>18</v>
      </c>
      <c r="B2" s="186"/>
      <c r="C2" s="186"/>
    </row>
    <row r="3" spans="1:3" ht="25.15" customHeight="1" x14ac:dyDescent="0.2">
      <c r="A3" s="189" t="s">
        <v>29</v>
      </c>
      <c r="B3" s="189"/>
      <c r="C3" s="189"/>
    </row>
    <row r="4" spans="1:3" ht="25.15" customHeight="1" x14ac:dyDescent="0.2">
      <c r="A4" s="110" t="s">
        <v>5</v>
      </c>
      <c r="B4" s="61">
        <v>41665</v>
      </c>
      <c r="C4" s="111"/>
    </row>
    <row r="5" spans="1:3" ht="25.15" customHeight="1" x14ac:dyDescent="0.2">
      <c r="A5" s="110" t="s">
        <v>46</v>
      </c>
      <c r="B5" s="10" t="s">
        <v>65</v>
      </c>
      <c r="C5" s="111"/>
    </row>
    <row r="6" spans="1:3" ht="25.15" customHeight="1" x14ac:dyDescent="0.2">
      <c r="A6" s="110" t="s">
        <v>49</v>
      </c>
      <c r="B6" s="52" t="s">
        <v>66</v>
      </c>
      <c r="C6" s="111"/>
    </row>
    <row r="7" spans="1:3" ht="25.15" customHeight="1" x14ac:dyDescent="0.2">
      <c r="A7" s="110" t="s">
        <v>0</v>
      </c>
      <c r="B7" s="10" t="s">
        <v>64</v>
      </c>
      <c r="C7" s="111" t="s">
        <v>4</v>
      </c>
    </row>
    <row r="8" spans="1:3" ht="25.15" customHeight="1" x14ac:dyDescent="0.2">
      <c r="A8" s="110" t="s">
        <v>47</v>
      </c>
      <c r="B8" s="15">
        <v>2</v>
      </c>
      <c r="C8" s="111"/>
    </row>
    <row r="9" spans="1:3" ht="25.15" customHeight="1" x14ac:dyDescent="0.2">
      <c r="A9" s="9" t="s">
        <v>31</v>
      </c>
      <c r="B9" s="51" t="s">
        <v>67</v>
      </c>
      <c r="C9" s="111" t="s">
        <v>50</v>
      </c>
    </row>
    <row r="10" spans="1:3" ht="25.15" customHeight="1" x14ac:dyDescent="0.2">
      <c r="A10" s="112"/>
      <c r="B10" s="112"/>
      <c r="C10" s="113"/>
    </row>
    <row r="11" spans="1:3" ht="25.15" customHeight="1" x14ac:dyDescent="0.2">
      <c r="A11" s="189" t="s">
        <v>30</v>
      </c>
      <c r="B11" s="189"/>
      <c r="C11" s="189"/>
    </row>
    <row r="12" spans="1:3" ht="30" customHeight="1" x14ac:dyDescent="0.2">
      <c r="A12" s="110" t="s">
        <v>48</v>
      </c>
      <c r="B12" s="14" t="s">
        <v>68</v>
      </c>
      <c r="C12" s="114"/>
    </row>
    <row r="13" spans="1:3" ht="30" customHeight="1" x14ac:dyDescent="0.2">
      <c r="A13" s="9" t="s">
        <v>26</v>
      </c>
      <c r="B13" s="13">
        <v>685021786</v>
      </c>
      <c r="C13" s="111"/>
    </row>
    <row r="14" spans="1:3" ht="30" customHeight="1" x14ac:dyDescent="0.2">
      <c r="A14" s="9" t="s">
        <v>27</v>
      </c>
      <c r="B14" s="16" t="s">
        <v>69</v>
      </c>
      <c r="C14" s="115"/>
    </row>
    <row r="16" spans="1:3" ht="91.9" customHeight="1" x14ac:dyDescent="0.2">
      <c r="A16" s="187" t="s">
        <v>10</v>
      </c>
      <c r="B16" s="187"/>
      <c r="C16" s="187"/>
    </row>
    <row r="17" spans="1:3" ht="15" customHeight="1" x14ac:dyDescent="0.2">
      <c r="A17" s="190" t="s">
        <v>13</v>
      </c>
      <c r="B17" s="190"/>
      <c r="C17" s="116"/>
    </row>
    <row r="18" spans="1:3" ht="15" customHeight="1" x14ac:dyDescent="0.2">
      <c r="A18" s="191" t="s">
        <v>28</v>
      </c>
      <c r="B18" s="190"/>
      <c r="C18" s="11"/>
    </row>
    <row r="19" spans="1:3" ht="15" customHeight="1" x14ac:dyDescent="0.2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AA45"/>
  <sheetViews>
    <sheetView showGridLines="0" zoomScale="40" zoomScaleNormal="4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G6" sqref="G6"/>
    </sheetView>
  </sheetViews>
  <sheetFormatPr baseColWidth="10" defaultColWidth="10.75" defaultRowHeight="40.5" outlineLevelCol="1" x14ac:dyDescent="0.2"/>
  <cols>
    <col min="1" max="1" width="15.875" style="3" customWidth="1"/>
    <col min="2" max="2" width="22.25" style="63" customWidth="1" outlineLevel="1"/>
    <col min="3" max="3" width="54" style="6" bestFit="1" customWidth="1"/>
    <col min="4" max="4" width="18.7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75" style="6" customWidth="1"/>
    <col min="16" max="16" width="14.875" style="7" customWidth="1"/>
    <col min="17" max="17" width="14.875" style="8" customWidth="1"/>
    <col min="18" max="18" width="14.5" style="7" customWidth="1"/>
    <col min="19" max="19" width="10.75" style="7" hidden="1" customWidth="1"/>
    <col min="20" max="20" width="14.5" style="7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75" style="3" customWidth="1"/>
    <col min="30" max="16384" width="10.75" style="3"/>
  </cols>
  <sheetData>
    <row r="1" spans="1:27" ht="37.9" customHeight="1" x14ac:dyDescent="0.2">
      <c r="A1" s="192" t="str">
        <f>CONCATENATE(INFO!B7," - ",INFO!B9)</f>
        <v>CARABINE - BOURGOGNE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3.9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6.9" customHeight="1" thickTop="1" x14ac:dyDescent="0.2">
      <c r="A5" s="117">
        <v>1</v>
      </c>
      <c r="B5" s="179">
        <f>RANK(W5,W$5:W$44,0)</f>
        <v>2</v>
      </c>
      <c r="C5" s="71" t="s">
        <v>70</v>
      </c>
      <c r="D5" s="72">
        <v>471126</v>
      </c>
      <c r="E5" s="73" t="s">
        <v>71</v>
      </c>
      <c r="F5" s="140">
        <v>55.3</v>
      </c>
      <c r="G5" s="140">
        <v>70.900000000000006</v>
      </c>
      <c r="H5" s="141">
        <f t="shared" ref="H5:H44" si="0">SUM(F5:G5)</f>
        <v>126.2</v>
      </c>
      <c r="I5" s="74"/>
      <c r="J5" s="73" t="s">
        <v>77</v>
      </c>
      <c r="K5" s="140">
        <v>72</v>
      </c>
      <c r="L5" s="140">
        <v>71.7</v>
      </c>
      <c r="M5" s="141">
        <f t="shared" ref="M5:M44" si="1">SUM(K5:L5)</f>
        <v>143.69999999999999</v>
      </c>
      <c r="N5" s="74"/>
      <c r="O5" s="73" t="s">
        <v>72</v>
      </c>
      <c r="P5" s="140">
        <v>93.2</v>
      </c>
      <c r="Q5" s="140">
        <v>96.1</v>
      </c>
      <c r="R5" s="141">
        <f t="shared" ref="R5:R44" si="2">SUM(P5:Q5)</f>
        <v>189.3</v>
      </c>
      <c r="S5" s="74"/>
      <c r="T5" s="146">
        <f t="shared" ref="T5:T44" si="3">SUM(H5+M5+R5)</f>
        <v>459.2</v>
      </c>
      <c r="U5" s="120">
        <f>I5+N5+S5</f>
        <v>0</v>
      </c>
      <c r="W5" s="172">
        <f>H5+M5+R5+(0.000001*(I5+N5+S5))+(0.000000001*(G5+L5+Q5))</f>
        <v>459.2000002387</v>
      </c>
    </row>
    <row r="6" spans="1:27" s="4" customFormat="1" ht="46.9" customHeight="1" x14ac:dyDescent="0.2">
      <c r="A6" s="118">
        <v>2</v>
      </c>
      <c r="B6" s="180">
        <f t="shared" ref="B6:B44" si="4">RANK(W6,W$5:W$44,0)</f>
        <v>1</v>
      </c>
      <c r="C6" s="62" t="s">
        <v>76</v>
      </c>
      <c r="D6" s="64">
        <v>471185</v>
      </c>
      <c r="E6" s="67" t="s">
        <v>74</v>
      </c>
      <c r="F6" s="142">
        <v>76.3</v>
      </c>
      <c r="G6" s="142">
        <v>69.900000000000006</v>
      </c>
      <c r="H6" s="143">
        <f t="shared" si="0"/>
        <v>146.19999999999999</v>
      </c>
      <c r="I6" s="68"/>
      <c r="J6" s="67" t="s">
        <v>73</v>
      </c>
      <c r="K6" s="142">
        <v>72.400000000000006</v>
      </c>
      <c r="L6" s="142">
        <v>81.5</v>
      </c>
      <c r="M6" s="143">
        <f t="shared" si="1"/>
        <v>153.9</v>
      </c>
      <c r="N6" s="68"/>
      <c r="O6" s="67" t="s">
        <v>75</v>
      </c>
      <c r="P6" s="142">
        <v>88.3</v>
      </c>
      <c r="Q6" s="142">
        <v>92</v>
      </c>
      <c r="R6" s="143">
        <f t="shared" si="2"/>
        <v>180.3</v>
      </c>
      <c r="S6" s="68"/>
      <c r="T6" s="147">
        <f t="shared" si="3"/>
        <v>480.40000000000003</v>
      </c>
      <c r="U6" s="121">
        <f t="shared" ref="U6:U44" si="5">I6+N6+S6</f>
        <v>0</v>
      </c>
      <c r="W6" s="172">
        <f t="shared" ref="W6:W44" si="6">H6+M6+R6+(0.000001*(I6+N6+S6))+(0.000000001*(G6+L6+Q6))</f>
        <v>480.40000024340003</v>
      </c>
    </row>
    <row r="7" spans="1:27" s="4" customFormat="1" ht="46.9" customHeight="1" x14ac:dyDescent="0.2">
      <c r="A7" s="118">
        <v>3</v>
      </c>
      <c r="B7" s="180">
        <f t="shared" si="4"/>
        <v>3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6.9" customHeight="1" x14ac:dyDescent="0.2">
      <c r="A8" s="118">
        <v>4</v>
      </c>
      <c r="B8" s="180">
        <f t="shared" si="4"/>
        <v>3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6.9" customHeight="1" x14ac:dyDescent="0.2">
      <c r="A9" s="118">
        <v>5</v>
      </c>
      <c r="B9" s="180">
        <f t="shared" si="4"/>
        <v>3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6.9" customHeight="1" x14ac:dyDescent="0.2">
      <c r="A10" s="118">
        <v>6</v>
      </c>
      <c r="B10" s="180">
        <f t="shared" si="4"/>
        <v>3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6.9" customHeight="1" x14ac:dyDescent="0.2">
      <c r="A11" s="118">
        <v>7</v>
      </c>
      <c r="B11" s="180">
        <f t="shared" si="4"/>
        <v>3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6.9" customHeight="1" x14ac:dyDescent="0.2">
      <c r="A12" s="118">
        <v>8</v>
      </c>
      <c r="B12" s="180">
        <f t="shared" si="4"/>
        <v>3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6.9" customHeight="1" x14ac:dyDescent="0.2">
      <c r="A13" s="118">
        <v>9</v>
      </c>
      <c r="B13" s="180">
        <f t="shared" si="4"/>
        <v>3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6.9" customHeight="1" x14ac:dyDescent="0.2">
      <c r="A14" s="118">
        <v>10</v>
      </c>
      <c r="B14" s="180">
        <f t="shared" si="4"/>
        <v>3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6.9" customHeight="1" x14ac:dyDescent="0.2">
      <c r="A15" s="118">
        <v>11</v>
      </c>
      <c r="B15" s="180">
        <f t="shared" si="4"/>
        <v>3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6.9" customHeight="1" x14ac:dyDescent="0.2">
      <c r="A16" s="118">
        <v>12</v>
      </c>
      <c r="B16" s="180">
        <f t="shared" si="4"/>
        <v>3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6.9" customHeight="1" x14ac:dyDescent="0.2">
      <c r="A17" s="118">
        <v>13</v>
      </c>
      <c r="B17" s="180">
        <f t="shared" si="4"/>
        <v>3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6.9" customHeight="1" x14ac:dyDescent="0.2">
      <c r="A18" s="118">
        <v>14</v>
      </c>
      <c r="B18" s="180">
        <f t="shared" si="4"/>
        <v>3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6.9" customHeight="1" x14ac:dyDescent="0.2">
      <c r="A19" s="118">
        <v>15</v>
      </c>
      <c r="B19" s="180">
        <f t="shared" si="4"/>
        <v>3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6.9" customHeight="1" x14ac:dyDescent="0.2">
      <c r="A20" s="118">
        <v>16</v>
      </c>
      <c r="B20" s="180">
        <f t="shared" si="4"/>
        <v>3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6.9" customHeight="1" x14ac:dyDescent="0.2">
      <c r="A21" s="118">
        <v>17</v>
      </c>
      <c r="B21" s="180">
        <f t="shared" si="4"/>
        <v>3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6.9" customHeight="1" x14ac:dyDescent="0.2">
      <c r="A22" s="118">
        <v>18</v>
      </c>
      <c r="B22" s="180">
        <f t="shared" si="4"/>
        <v>3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6.9" customHeight="1" x14ac:dyDescent="0.2">
      <c r="A23" s="118">
        <v>19</v>
      </c>
      <c r="B23" s="180">
        <f t="shared" si="4"/>
        <v>3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6.9" customHeight="1" x14ac:dyDescent="0.2">
      <c r="A24" s="118">
        <v>20</v>
      </c>
      <c r="B24" s="180">
        <f t="shared" si="4"/>
        <v>3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6.9" customHeight="1" x14ac:dyDescent="0.2">
      <c r="A25" s="118">
        <v>21</v>
      </c>
      <c r="B25" s="180">
        <f t="shared" si="4"/>
        <v>3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6.9" customHeight="1" x14ac:dyDescent="0.2">
      <c r="A26" s="118">
        <v>22</v>
      </c>
      <c r="B26" s="180">
        <f t="shared" si="4"/>
        <v>3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6.9" customHeight="1" x14ac:dyDescent="0.2">
      <c r="A27" s="118">
        <v>23</v>
      </c>
      <c r="B27" s="180">
        <f t="shared" si="4"/>
        <v>3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6.9" customHeight="1" x14ac:dyDescent="0.2">
      <c r="A28" s="118">
        <v>24</v>
      </c>
      <c r="B28" s="180">
        <f t="shared" si="4"/>
        <v>3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6.9" customHeight="1" x14ac:dyDescent="0.2">
      <c r="A29" s="118">
        <v>25</v>
      </c>
      <c r="B29" s="180">
        <f t="shared" si="4"/>
        <v>3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6.9" customHeight="1" x14ac:dyDescent="0.2">
      <c r="A30" s="118">
        <v>26</v>
      </c>
      <c r="B30" s="180">
        <f t="shared" si="4"/>
        <v>3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6.9" customHeight="1" x14ac:dyDescent="0.2">
      <c r="A31" s="118">
        <v>27</v>
      </c>
      <c r="B31" s="180">
        <f t="shared" si="4"/>
        <v>3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6.9" customHeight="1" x14ac:dyDescent="0.2">
      <c r="A32" s="118">
        <v>28</v>
      </c>
      <c r="B32" s="180">
        <f t="shared" si="4"/>
        <v>3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6.9" customHeight="1" x14ac:dyDescent="0.2">
      <c r="A33" s="118">
        <v>29</v>
      </c>
      <c r="B33" s="180">
        <f t="shared" si="4"/>
        <v>3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6.9" customHeight="1" x14ac:dyDescent="0.2">
      <c r="A34" s="118">
        <v>30</v>
      </c>
      <c r="B34" s="180">
        <f t="shared" si="4"/>
        <v>3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6.9" customHeight="1" x14ac:dyDescent="0.2">
      <c r="A35" s="118">
        <v>31</v>
      </c>
      <c r="B35" s="180">
        <f t="shared" si="4"/>
        <v>3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6.9" customHeight="1" x14ac:dyDescent="0.2">
      <c r="A36" s="118">
        <v>32</v>
      </c>
      <c r="B36" s="180">
        <f t="shared" si="4"/>
        <v>3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6.9" customHeight="1" x14ac:dyDescent="0.2">
      <c r="A37" s="118">
        <v>33</v>
      </c>
      <c r="B37" s="180">
        <f t="shared" si="4"/>
        <v>3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6.9" customHeight="1" x14ac:dyDescent="0.2">
      <c r="A38" s="118">
        <v>34</v>
      </c>
      <c r="B38" s="180">
        <f t="shared" si="4"/>
        <v>3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6.9" customHeight="1" x14ac:dyDescent="0.2">
      <c r="A39" s="118">
        <v>35</v>
      </c>
      <c r="B39" s="180">
        <f t="shared" si="4"/>
        <v>3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6.9" customHeight="1" x14ac:dyDescent="0.2">
      <c r="A40" s="118">
        <v>36</v>
      </c>
      <c r="B40" s="180">
        <f t="shared" si="4"/>
        <v>3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6.9" customHeight="1" x14ac:dyDescent="0.2">
      <c r="A41" s="118">
        <v>37</v>
      </c>
      <c r="B41" s="180">
        <f t="shared" si="4"/>
        <v>3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6.9" customHeight="1" x14ac:dyDescent="0.2">
      <c r="A42" s="118">
        <v>38</v>
      </c>
      <c r="B42" s="180">
        <f t="shared" si="4"/>
        <v>3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6.9" customHeight="1" x14ac:dyDescent="0.2">
      <c r="A43" s="118">
        <v>39</v>
      </c>
      <c r="B43" s="180">
        <f t="shared" si="4"/>
        <v>3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6.9" customHeight="1" thickBot="1" x14ac:dyDescent="0.25">
      <c r="A44" s="119">
        <v>40</v>
      </c>
      <c r="B44" s="181">
        <f t="shared" si="4"/>
        <v>3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75" defaultRowHeight="40.5" x14ac:dyDescent="0.2"/>
  <cols>
    <col min="1" max="1" width="15.875" style="81" customWidth="1"/>
    <col min="2" max="2" width="54.5" style="90" bestFit="1" customWidth="1"/>
    <col min="3" max="3" width="21.125" style="90" customWidth="1"/>
    <col min="4" max="4" width="50.75" style="90" customWidth="1"/>
    <col min="5" max="7" width="14.5" style="91" customWidth="1"/>
    <col min="8" max="8" width="0.125" style="91" customWidth="1"/>
    <col min="9" max="9" width="50.5" style="90" customWidth="1"/>
    <col min="10" max="10" width="14.5" style="92" customWidth="1"/>
    <col min="11" max="11" width="14.5" style="91" customWidth="1"/>
    <col min="12" max="12" width="14" style="91" customWidth="1"/>
    <col min="13" max="13" width="10.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5" style="93" hidden="1" customWidth="1"/>
    <col min="21" max="21" width="4.5" style="81" customWidth="1"/>
    <col min="22" max="22" width="19.125" style="81" customWidth="1"/>
    <col min="23" max="23" width="4.5" style="81" customWidth="1"/>
    <col min="24" max="24" width="6.875" style="81" customWidth="1"/>
    <col min="25" max="25" width="3.125" style="81" customWidth="1"/>
    <col min="26" max="26" width="1" style="82" customWidth="1"/>
    <col min="27" max="27" width="9.5" style="81" customWidth="1"/>
    <col min="28" max="28" width="9.75" style="81" customWidth="1"/>
    <col min="29" max="16384" width="10.75" style="81"/>
  </cols>
  <sheetData>
    <row r="1" spans="1:26" ht="145.9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8.9" customHeight="1" x14ac:dyDescent="0.2">
      <c r="A2" s="210" t="str">
        <f>CONCATENATE("MATCH DE QUALIFICATION"," - ",INFO!B7," - ",INFO!B9)</f>
        <v>MATCH DE QUALIFICATION - CARABINE - BOURGOGNE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3.9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6.9" customHeight="1" x14ac:dyDescent="0.2">
      <c r="A5" s="85">
        <v>1</v>
      </c>
      <c r="B5" s="139" t="str">
        <f>VLOOKUP(A5,saisie!B$5:W$44,2,0)</f>
        <v>TS CHATENOY LE ROYAL</v>
      </c>
      <c r="C5" s="86">
        <f>VLOOKUP(A5,saisie!B$5:W$44,3,0)</f>
        <v>471185</v>
      </c>
      <c r="D5" s="83" t="str">
        <f>VLOOKUP(A5,saisie!B$5:W$44,4,0)</f>
        <v>GARNIER MARIUS</v>
      </c>
      <c r="E5" s="149">
        <f>VLOOKUP(A5,saisie!B$5:W$44,5,0)</f>
        <v>76.3</v>
      </c>
      <c r="F5" s="149">
        <f>VLOOKUP(A5,saisie!B$5:W$44,6,0)</f>
        <v>69.900000000000006</v>
      </c>
      <c r="G5" s="150">
        <f t="shared" ref="G5:G44" si="0">SUM(E5:F5)</f>
        <v>146.19999999999999</v>
      </c>
      <c r="H5" s="87">
        <f>VLOOKUP(A5,saisie!B$5:W$44,8,0)</f>
        <v>0</v>
      </c>
      <c r="I5" s="83" t="str">
        <f>VLOOKUP(A5,saisie!B$5:W$44,9,0)</f>
        <v>GIBELY ANGE</v>
      </c>
      <c r="J5" s="149">
        <f>VLOOKUP(A5,saisie!B$5:W$44,10,0)</f>
        <v>72.400000000000006</v>
      </c>
      <c r="K5" s="149">
        <f>VLOOKUP(A5,saisie!B$5:W$44,11,0)</f>
        <v>81.5</v>
      </c>
      <c r="L5" s="150">
        <f t="shared" ref="L5:L44" si="1">SUM(J5:K5)</f>
        <v>153.9</v>
      </c>
      <c r="M5" s="87">
        <f>VLOOKUP(A5,saisie!B$5:W$44,13,0)</f>
        <v>0</v>
      </c>
      <c r="N5" s="83" t="str">
        <f>VLOOKUP(A5,saisie!B$5:W$44,14,0)</f>
        <v>ANDRE JADE</v>
      </c>
      <c r="O5" s="149">
        <f>VLOOKUP(A5,saisie!B$5:W$44,15,0)</f>
        <v>88.3</v>
      </c>
      <c r="P5" s="149">
        <f>VLOOKUP(A5,saisie!B$5:W$44,16,0)</f>
        <v>92</v>
      </c>
      <c r="Q5" s="150">
        <f t="shared" ref="Q5:Q44" si="2">SUM(O5:P5)</f>
        <v>180.3</v>
      </c>
      <c r="R5" s="87">
        <f>VLOOKUP(A5,saisie!B$5:W$44,18,0)</f>
        <v>0</v>
      </c>
      <c r="S5" s="151">
        <f t="shared" ref="S5:S44" si="3">SUM(G5+L5+Q5)</f>
        <v>480.40000000000003</v>
      </c>
      <c r="T5" s="88">
        <f>VLOOKUP(A5,saisie!B$5:W$44,20,0)</f>
        <v>0</v>
      </c>
    </row>
    <row r="6" spans="1:26" s="89" customFormat="1" ht="46.9" customHeight="1" x14ac:dyDescent="0.2">
      <c r="A6" s="85">
        <f>IF(INFO!B8&gt;1,2,"")</f>
        <v>2</v>
      </c>
      <c r="B6" s="139" t="str">
        <f>VLOOKUP(A6,saisie!B$5:W$44,2,0)</f>
        <v>STEP CHALON S/SAONE</v>
      </c>
      <c r="C6" s="86">
        <f>VLOOKUP(A6,saisie!B$5:W$44,3,0)</f>
        <v>471126</v>
      </c>
      <c r="D6" s="83" t="str">
        <f>VLOOKUP(A6,saisie!B$5:W$44,4,0)</f>
        <v>BOUTON ALIX</v>
      </c>
      <c r="E6" s="149">
        <f>VLOOKUP(A6,saisie!B$5:W$44,5,0)</f>
        <v>55.3</v>
      </c>
      <c r="F6" s="149">
        <f>VLOOKUP(A6,saisie!B$5:W$44,6,0)</f>
        <v>70.900000000000006</v>
      </c>
      <c r="G6" s="150">
        <f t="shared" si="0"/>
        <v>126.2</v>
      </c>
      <c r="H6" s="87">
        <f>VLOOKUP(A6,saisie!B$5:W$44,8,0)</f>
        <v>0</v>
      </c>
      <c r="I6" s="83" t="str">
        <f>VLOOKUP(A6,saisie!B$5:W$44,9,0)</f>
        <v>FRANCOIS LOUY</v>
      </c>
      <c r="J6" s="149">
        <f>VLOOKUP(A6,saisie!B$5:W$44,10,0)</f>
        <v>72</v>
      </c>
      <c r="K6" s="149">
        <f>VLOOKUP(A6,saisie!B$5:W$44,11,0)</f>
        <v>71.7</v>
      </c>
      <c r="L6" s="150">
        <f t="shared" si="1"/>
        <v>143.69999999999999</v>
      </c>
      <c r="M6" s="87">
        <f>VLOOKUP(A6,saisie!B$5:W$44,13,0)</f>
        <v>0</v>
      </c>
      <c r="N6" s="83" t="str">
        <f>VLOOKUP(A6,saisie!B$5:W$44,14,0)</f>
        <v>SURGOT CELIA</v>
      </c>
      <c r="O6" s="149">
        <f>VLOOKUP(A6,saisie!B$5:W$44,15,0)</f>
        <v>93.2</v>
      </c>
      <c r="P6" s="149">
        <f>VLOOKUP(A6,saisie!B$5:W$44,16,0)</f>
        <v>96.1</v>
      </c>
      <c r="Q6" s="150">
        <f t="shared" si="2"/>
        <v>189.3</v>
      </c>
      <c r="R6" s="87">
        <f>VLOOKUP(A6,saisie!B$5:W$44,18,0)</f>
        <v>0</v>
      </c>
      <c r="S6" s="151">
        <f t="shared" si="3"/>
        <v>459.2</v>
      </c>
      <c r="T6" s="88">
        <f>VLOOKUP(A6,saisie!B$5:W$44,20,0)</f>
        <v>0</v>
      </c>
    </row>
    <row r="7" spans="1:26" s="89" customFormat="1" ht="46.9" customHeight="1" x14ac:dyDescent="0.2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6.9" customHeight="1" x14ac:dyDescent="0.2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6.9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6.9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6.9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6.9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6.9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6.9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6.9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6.9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6.9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6.9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6.9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6.9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6.9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6.9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6.9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6.9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6.9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6.9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6.9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6.9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6.9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6.9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6.9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6.9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6.9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6.9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6.9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6.9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6.9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6.9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6.9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6.9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6.9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6.9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6.9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6.9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40.15" customHeight="1" x14ac:dyDescent="0.2">
      <c r="A1" s="17"/>
      <c r="B1" s="220" t="str">
        <f>CONCATENATE(INFO!B7,"    ",INFO!B9)</f>
        <v>CARABINE    BOURGOGNE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4.9000000000000004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.15" customHeight="1" thickBot="1" x14ac:dyDescent="0.25">
      <c r="A4" s="32"/>
      <c r="B4" s="152" t="s">
        <v>1</v>
      </c>
      <c r="C4" s="218" t="str">
        <f>'M Q'!B5</f>
        <v>TS CHATENOY LE ROYAL</v>
      </c>
      <c r="D4" s="219"/>
      <c r="E4" s="153">
        <f>'M Q'!S5</f>
        <v>480.40000000000003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5.1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.15" customHeight="1" x14ac:dyDescent="0.2">
      <c r="A6" s="31"/>
      <c r="B6" s="159" t="str">
        <f>'M Q'!D5</f>
        <v>GARNIER MARIUS</v>
      </c>
      <c r="C6" s="160">
        <f>'M Q'!E5</f>
        <v>76.3</v>
      </c>
      <c r="D6" s="161">
        <f>'M Q'!F5</f>
        <v>69.900000000000006</v>
      </c>
      <c r="E6" s="159">
        <f>SUM(C6:D6)</f>
        <v>146.19999999999999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5.15" customHeight="1" x14ac:dyDescent="0.2">
      <c r="A7" s="31"/>
      <c r="B7" s="162" t="str">
        <f>'M Q'!I5</f>
        <v>GIBELY ANGE</v>
      </c>
      <c r="C7" s="163">
        <f>'M Q'!J5</f>
        <v>72.400000000000006</v>
      </c>
      <c r="D7" s="164">
        <f>'M Q'!K5</f>
        <v>81.5</v>
      </c>
      <c r="E7" s="162">
        <f>SUM(C7:D7)</f>
        <v>153.9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5.15" customHeight="1" thickBot="1" x14ac:dyDescent="0.25">
      <c r="A8" s="31"/>
      <c r="B8" s="165" t="str">
        <f>'M Q'!N5</f>
        <v>ANDRE JADE</v>
      </c>
      <c r="C8" s="166">
        <f>'M Q'!O5</f>
        <v>88.3</v>
      </c>
      <c r="D8" s="167">
        <f>'M Q'!P5</f>
        <v>92</v>
      </c>
      <c r="E8" s="165">
        <f>SUM(C8:D8)</f>
        <v>180.3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5.1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.15" customHeight="1" thickBot="1" x14ac:dyDescent="0.25">
      <c r="A10" s="34"/>
      <c r="B10" s="152" t="s">
        <v>2</v>
      </c>
      <c r="C10" s="218" t="str">
        <f>'M Q'!B6</f>
        <v>STEP CHALON S/SAONE</v>
      </c>
      <c r="D10" s="219"/>
      <c r="E10" s="153">
        <f>'M Q'!S6</f>
        <v>459.2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5.1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.15" customHeight="1" x14ac:dyDescent="0.2">
      <c r="A12" s="31"/>
      <c r="B12" s="159" t="str">
        <f>'M Q'!D6</f>
        <v>BOUTON ALIX</v>
      </c>
      <c r="C12" s="160">
        <f>'M Q'!E6</f>
        <v>55.3</v>
      </c>
      <c r="D12" s="161">
        <f>'M Q'!F6</f>
        <v>70.900000000000006</v>
      </c>
      <c r="E12" s="159">
        <f>SUM(C12:D12)</f>
        <v>126.2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5.15" customHeight="1" x14ac:dyDescent="0.2">
      <c r="A13" s="31"/>
      <c r="B13" s="162" t="str">
        <f>'M Q'!I6</f>
        <v>FRANCOIS LOUY</v>
      </c>
      <c r="C13" s="163">
        <f>'M Q'!J6</f>
        <v>72</v>
      </c>
      <c r="D13" s="164">
        <f>'M Q'!K6</f>
        <v>71.7</v>
      </c>
      <c r="E13" s="162">
        <f>SUM(C13:D13)</f>
        <v>143.69999999999999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5.15" customHeight="1" thickBot="1" x14ac:dyDescent="0.25">
      <c r="A14" s="31"/>
      <c r="B14" s="165" t="str">
        <f>'M Q'!N6</f>
        <v>SURGOT CELIA</v>
      </c>
      <c r="C14" s="166">
        <f>'M Q'!O6</f>
        <v>93.2</v>
      </c>
      <c r="D14" s="167">
        <f>'M Q'!P6</f>
        <v>96.1</v>
      </c>
      <c r="E14" s="165">
        <f>SUM(C14:D14)</f>
        <v>189.3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5.1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.15" customHeight="1" thickBot="1" x14ac:dyDescent="0.25">
      <c r="A16" s="34"/>
      <c r="B16" s="152" t="str">
        <f>IF(INFO!B8&gt;2,"3e MQ","")</f>
        <v/>
      </c>
      <c r="C16" s="218" t="str">
        <f>IF(INFO!B8&gt;2,'M Q'!B7,"")</f>
        <v/>
      </c>
      <c r="D16" s="219"/>
      <c r="E16" s="153" t="str">
        <f>IF(INFO!B8&gt;2,'M Q'!S7,"")</f>
        <v/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5.1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.15" customHeight="1" x14ac:dyDescent="0.2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5.15" customHeight="1" x14ac:dyDescent="0.2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5.15" customHeight="1" thickBot="1" x14ac:dyDescent="0.25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5.1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.15" customHeight="1" thickBot="1" x14ac:dyDescent="0.25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5.1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.15" customHeight="1" x14ac:dyDescent="0.2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5.15" customHeight="1" x14ac:dyDescent="0.2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5.15" customHeight="1" thickBot="1" x14ac:dyDescent="0.25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6.899999999999999" customHeight="1" x14ac:dyDescent="0.2"/>
  </sheetData>
  <sheetProtection password="CF6D" sheet="1" objects="1" scenarios="1" formatColumns="0" selectLockedCells="1"/>
  <mergeCells count="18"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V109"/>
  <sheetViews>
    <sheetView showGridLines="0" tabSelected="1" zoomScale="95" zoomScaleNormal="95" zoomScaleSheetLayoutView="75" zoomScalePageLayoutView="95" workbookViewId="0">
      <pane ySplit="2" topLeftCell="A94" activePane="bottomLeft" state="frozenSplit"/>
      <selection sqref="A1:C1"/>
      <selection pane="bottomLeft" activeCell="E5" sqref="E5"/>
    </sheetView>
  </sheetViews>
  <sheetFormatPr baseColWidth="10" defaultColWidth="8.125" defaultRowHeight="28.15" customHeight="1" outlineLevelRow="2" x14ac:dyDescent="0.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49.9" customHeight="1" x14ac:dyDescent="0.2">
      <c r="A1" s="257" t="str">
        <f>INFO!B7</f>
        <v>CARABINE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8.15" customHeight="1" outlineLevel="1" thickBot="1" x14ac:dyDescent="0.25">
      <c r="B4" s="263" t="str">
        <f>'Clb Q'!C4</f>
        <v>TS CHATENOY LE ROYAL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2.15" customHeight="1" outlineLevel="2" x14ac:dyDescent="0.2">
      <c r="B5" s="250" t="str">
        <f>'Clb Q'!B6</f>
        <v>GARNIER MARIUS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2.15" customHeight="1" outlineLevel="2" x14ac:dyDescent="0.2">
      <c r="B6" s="250" t="str">
        <f>'Clb Q'!B7</f>
        <v>GIBELY ANGE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2.15" customHeight="1" outlineLevel="2" thickBot="1" x14ac:dyDescent="0.25">
      <c r="B7" s="250" t="str">
        <f>'Clb Q'!B8</f>
        <v>ANDRE JADE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2.15" customHeight="1" outlineLevel="1" x14ac:dyDescent="0.2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2.15" customHeight="1" outlineLevel="1" x14ac:dyDescent="0.2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2.15" customHeight="1" outlineLevel="1" x14ac:dyDescent="0.2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2.15" customHeight="1" outlineLevel="1" x14ac:dyDescent="0.2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2.15" customHeight="1" outlineLevel="1" thickBot="1" x14ac:dyDescent="0.25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6.149999999999999" customHeight="1" outlineLevel="1" thickBot="1" x14ac:dyDescent="0.25">
      <c r="J13" s="28"/>
      <c r="K13" s="28"/>
      <c r="U13" s="30"/>
    </row>
    <row r="14" spans="1:22" s="38" customFormat="1" ht="28.15" customHeight="1" outlineLevel="1" thickBot="1" x14ac:dyDescent="0.25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/>
      </c>
      <c r="R14" s="264"/>
      <c r="S14" s="265"/>
      <c r="U14" s="42"/>
    </row>
    <row r="15" spans="1:22" s="36" customFormat="1" ht="22.15" customHeight="1" outlineLevel="2" x14ac:dyDescent="0.2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/>
      </c>
      <c r="R15" s="251"/>
      <c r="S15" s="252"/>
      <c r="U15" s="43"/>
    </row>
    <row r="16" spans="1:22" s="36" customFormat="1" ht="22.15" customHeight="1" outlineLevel="2" x14ac:dyDescent="0.2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/>
      </c>
      <c r="R16" s="251"/>
      <c r="S16" s="252"/>
      <c r="U16" s="43"/>
    </row>
    <row r="17" spans="1:21" s="36" customFormat="1" ht="22.15" customHeight="1" outlineLevel="2" thickBot="1" x14ac:dyDescent="0.25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/>
      </c>
      <c r="R17" s="251"/>
      <c r="S17" s="252"/>
      <c r="U17" s="43"/>
    </row>
    <row r="18" spans="1:21" ht="22.15" customHeight="1" outlineLevel="1" x14ac:dyDescent="0.2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2.15" customHeight="1" outlineLevel="1" x14ac:dyDescent="0.2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2.15" customHeight="1" outlineLevel="1" x14ac:dyDescent="0.2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2.15" customHeight="1" outlineLevel="1" x14ac:dyDescent="0.2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2.15" customHeight="1" outlineLevel="1" thickBot="1" x14ac:dyDescent="0.25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8.15" customHeight="1" outlineLevel="1" thickBot="1" x14ac:dyDescent="0.25">
      <c r="B25" s="263" t="str">
        <f>'Clb Q'!C16</f>
        <v/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2.15" customHeight="1" outlineLevel="2" x14ac:dyDescent="0.2">
      <c r="B26" s="250" t="str">
        <f>'Clb Q'!B18</f>
        <v/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2.15" customHeight="1" outlineLevel="2" x14ac:dyDescent="0.2">
      <c r="B27" s="250" t="str">
        <f>'Clb Q'!B19</f>
        <v/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2.15" customHeight="1" outlineLevel="2" thickBot="1" x14ac:dyDescent="0.25">
      <c r="B28" s="250" t="str">
        <f>'Clb Q'!B20</f>
        <v/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2.15" customHeight="1" outlineLevel="1" x14ac:dyDescent="0.2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2.15" customHeight="1" outlineLevel="1" x14ac:dyDescent="0.2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2.15" customHeight="1" outlineLevel="1" x14ac:dyDescent="0.2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2.15" customHeight="1" outlineLevel="1" x14ac:dyDescent="0.2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2.15" customHeight="1" outlineLevel="1" thickBot="1" x14ac:dyDescent="0.25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8.15" customHeight="1" outlineLevel="1" thickBot="1" x14ac:dyDescent="0.25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str">
        <f>'Clb Q'!C10</f>
        <v>STEP CHALON S/SAONE</v>
      </c>
      <c r="R36" s="264"/>
      <c r="S36" s="265"/>
      <c r="U36" s="42"/>
    </row>
    <row r="37" spans="1:21" s="36" customFormat="1" ht="22.15" customHeight="1" outlineLevel="2" x14ac:dyDescent="0.2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 t="str">
        <f>'Clb Q'!B12</f>
        <v>BOUTON ALIX</v>
      </c>
      <c r="R37" s="251"/>
      <c r="S37" s="252"/>
      <c r="U37" s="43"/>
    </row>
    <row r="38" spans="1:21" s="36" customFormat="1" ht="22.15" customHeight="1" outlineLevel="2" x14ac:dyDescent="0.2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 t="str">
        <f>'Clb Q'!B13</f>
        <v>FRANCOIS LOUY</v>
      </c>
      <c r="R38" s="251"/>
      <c r="S38" s="252"/>
      <c r="U38" s="43"/>
    </row>
    <row r="39" spans="1:21" s="36" customFormat="1" ht="22.15" customHeight="1" outlineLevel="2" thickBot="1" x14ac:dyDescent="0.25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 t="str">
        <f>'Clb Q'!B14</f>
        <v>SURGOT CELIA</v>
      </c>
      <c r="R39" s="251"/>
      <c r="S39" s="252"/>
      <c r="U39" s="43"/>
    </row>
    <row r="40" spans="1:21" ht="22.15" customHeight="1" outlineLevel="1" x14ac:dyDescent="0.2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2.15" customHeight="1" outlineLevel="1" x14ac:dyDescent="0.2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2.15" customHeight="1" outlineLevel="1" x14ac:dyDescent="0.2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2.15" customHeight="1" outlineLevel="1" x14ac:dyDescent="0.2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2.15" customHeight="1" outlineLevel="1" thickBot="1" x14ac:dyDescent="0.25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5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8.15" customHeight="1" thickBot="1" x14ac:dyDescent="0.25">
      <c r="B46" s="244" t="str">
        <f>IF(G4="",B4,IF(B8="","",IF(B8&gt;2,B4,IF(H8&gt;2,G4,""))))</f>
        <v>TS CHATENOY LE ROYAL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/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2.15" customHeight="1" outlineLevel="1" x14ac:dyDescent="0.2">
      <c r="B47" s="247" t="str">
        <f>IF(G4="",B5,IF(B8="","",IF(B8&gt;2,B5,IF(H8&gt;2,G5,""))))</f>
        <v>GARNIER MARIUS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/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2.15" customHeight="1" outlineLevel="1" x14ac:dyDescent="0.2">
      <c r="B48" s="247" t="str">
        <f>IF(G4="",B6,IF(B8="","",IF(B8&gt;2,B6,IF(H8&gt;2,G6,""))))</f>
        <v>GIBELY ANGE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/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2.15" customHeight="1" outlineLevel="1" thickBot="1" x14ac:dyDescent="0.25">
      <c r="B49" s="247" t="str">
        <f>IF(G4="",B7,IF(B8="","",IF(B8&gt;2,B7,IF(H8&gt;2,G7,""))))</f>
        <v>ANDRE JADE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/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2.15" customHeight="1" x14ac:dyDescent="0.2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2.15" customHeight="1" x14ac:dyDescent="0.2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2.15" customHeight="1" x14ac:dyDescent="0.2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2.15" customHeight="1" x14ac:dyDescent="0.2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2.15" customHeight="1" thickBot="1" x14ac:dyDescent="0.25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8.15" customHeight="1" thickBot="1" x14ac:dyDescent="0.25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/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str">
        <f>IF(L36="",Q36,IF(L40="","",IF(L40&gt;2,L36,IF(R40&gt;2,Q36,""))))</f>
        <v>STEP CHALON S/SAONE</v>
      </c>
      <c r="R56" s="245"/>
      <c r="S56" s="246"/>
      <c r="U56" s="42"/>
    </row>
    <row r="57" spans="1:21" s="36" customFormat="1" ht="22.15" customHeight="1" outlineLevel="1" x14ac:dyDescent="0.2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/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 t="str">
        <f>IF(L36="",Q37,IF(L40="","",IF(L40&gt;2,L37,IF(R40&gt;2,Q37,""))))</f>
        <v>BOUTON ALIX</v>
      </c>
      <c r="R57" s="248"/>
      <c r="S57" s="249"/>
      <c r="U57" s="43"/>
    </row>
    <row r="58" spans="1:21" s="36" customFormat="1" ht="22.15" customHeight="1" outlineLevel="1" x14ac:dyDescent="0.2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/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 t="str">
        <f>IF(L36="",Q38,IF(L40="","",IF(L40&gt;2,L38,IF(R40&gt;2,Q38,""))))</f>
        <v>FRANCOIS LOUY</v>
      </c>
      <c r="R58" s="248"/>
      <c r="S58" s="249"/>
      <c r="U58" s="43"/>
    </row>
    <row r="59" spans="1:21" s="36" customFormat="1" ht="22.15" customHeight="1" outlineLevel="1" thickBot="1" x14ac:dyDescent="0.25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/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 t="str">
        <f>IF(L36="",Q39,IF(L40="","",IF(L40&gt;2,L39,IF(R40&gt;2,Q39,""))))</f>
        <v>SURGOT CELIA</v>
      </c>
      <c r="R59" s="248"/>
      <c r="S59" s="249"/>
      <c r="U59" s="43"/>
    </row>
    <row r="60" spans="1:21" ht="22.15" customHeight="1" x14ac:dyDescent="0.2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 t="str">
        <f>IF(N60="","",IF(N60&gt;1,1,0))</f>
        <v/>
      </c>
      <c r="L60" s="254" t="str">
        <f>IF(N60="","",SUM(K60:K64))</f>
        <v/>
      </c>
      <c r="M60" s="266"/>
      <c r="N60" s="78"/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2.15" customHeight="1" x14ac:dyDescent="0.2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 t="str">
        <f>IF(N61="","",IF(N61&gt;1,1,0))</f>
        <v/>
      </c>
      <c r="L61" s="256"/>
      <c r="M61" s="267"/>
      <c r="N61" s="79"/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2.15" customHeight="1" x14ac:dyDescent="0.2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 t="str">
        <f>IF(N62="","",IF(N62&gt;1,1,0))</f>
        <v/>
      </c>
      <c r="L62" s="256"/>
      <c r="M62" s="267"/>
      <c r="N62" s="79"/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2.15" customHeight="1" x14ac:dyDescent="0.2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2.15" customHeight="1" thickBot="1" x14ac:dyDescent="0.25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50.15" hidden="1" customHeight="1" outlineLevel="1" x14ac:dyDescent="0.2">
      <c r="J65" s="30"/>
    </row>
    <row r="66" spans="1:21" ht="60" customHeight="1" collapsed="1" thickBo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8.15" customHeight="1" thickBot="1" x14ac:dyDescent="0.25">
      <c r="B67" s="241" t="str">
        <f>IF(G46="",B46,IF(B50="","",IF(H50="","",IF(B50&gt;2,B46,IF(H50&gt;2,G46,"")))))</f>
        <v>TS CHATENOY LE ROYAL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/>
      </c>
      <c r="H67" s="242"/>
      <c r="I67" s="243"/>
      <c r="J67" s="40"/>
      <c r="K67" s="39"/>
      <c r="L67" s="241" t="str">
        <f>IF(Q46="",L46,IF(L50="","",IF(R50="","",IF(L50&gt;2,L46,IF(R50&gt;2,Q46,"")))))</f>
        <v/>
      </c>
      <c r="M67" s="242"/>
      <c r="N67" s="243"/>
      <c r="O67" s="224" t="s">
        <v>11</v>
      </c>
      <c r="P67" s="225"/>
      <c r="Q67" s="241" t="str">
        <f>IF(L56="",Q56,IF(L60="","",IF(R60="","",IF(L60&gt;2,L56,IF(R60&gt;2,Q56,"")))))</f>
        <v>STEP CHALON S/SAONE</v>
      </c>
      <c r="R67" s="242"/>
      <c r="S67" s="243"/>
    </row>
    <row r="68" spans="1:21" s="36" customFormat="1" ht="22.15" customHeight="1" outlineLevel="1" x14ac:dyDescent="0.2">
      <c r="B68" s="275" t="str">
        <f>IF(G46="",B47,IF(B50="","",IF(H50="","",IF(B50&gt;2,B47,IF(H50&gt;2,G47,"")))))</f>
        <v>GARNIER MARIUS</v>
      </c>
      <c r="C68" s="276"/>
      <c r="D68" s="277"/>
      <c r="E68" s="130">
        <v>3</v>
      </c>
      <c r="F68" s="131">
        <v>4</v>
      </c>
      <c r="G68" s="275" t="str">
        <f>IF(B56="",G57,IF(B60="","",IF(H60="","",IF(B60&gt;2,B57,IF(H60&gt;2,G57,"")))))</f>
        <v/>
      </c>
      <c r="H68" s="276"/>
      <c r="I68" s="277"/>
      <c r="J68" s="37"/>
      <c r="K68" s="35"/>
      <c r="L68" s="275" t="str">
        <f>IF(Q46="",L47,IF(L50="","",IF(R50="","",IF(L50&gt;2,L47,IF(R50&gt;2,Q47,"")))))</f>
        <v/>
      </c>
      <c r="M68" s="276"/>
      <c r="N68" s="277"/>
      <c r="O68" s="132">
        <v>13</v>
      </c>
      <c r="P68" s="133">
        <v>14</v>
      </c>
      <c r="Q68" s="275" t="str">
        <f>IF(L56="",Q57,IF(L60="","",IF(R60="","",IF(L60&gt;2,L57,IF(R60&gt;2,Q57,"")))))</f>
        <v>BOUTON ALIX</v>
      </c>
      <c r="R68" s="276"/>
      <c r="S68" s="277"/>
    </row>
    <row r="69" spans="1:21" s="36" customFormat="1" ht="22.15" customHeight="1" outlineLevel="1" x14ac:dyDescent="0.2">
      <c r="B69" s="275" t="str">
        <f>IF(G46="",B48,IF(B50="","",IF(H50="","",IF(B50&gt;2,B48,IF(H50&gt;2,G48,"")))))</f>
        <v>GIBELY ANGE</v>
      </c>
      <c r="C69" s="276"/>
      <c r="D69" s="277"/>
      <c r="E69" s="130">
        <v>5</v>
      </c>
      <c r="F69" s="131">
        <v>6</v>
      </c>
      <c r="G69" s="275" t="str">
        <f>IF(B56="",G58,IF(B60="","",IF(H60="","",IF(B60&gt;2,B58,IF(H60&gt;2,G58,"")))))</f>
        <v/>
      </c>
      <c r="H69" s="276"/>
      <c r="I69" s="277"/>
      <c r="J69" s="37"/>
      <c r="K69" s="35"/>
      <c r="L69" s="275" t="str">
        <f>IF(Q46="",L48,IF(L50="","",IF(R50="","",IF(L50&gt;2,L48,IF(R50&gt;2,Q48,"")))))</f>
        <v/>
      </c>
      <c r="M69" s="276"/>
      <c r="N69" s="277"/>
      <c r="O69" s="132">
        <v>15</v>
      </c>
      <c r="P69" s="133">
        <v>16</v>
      </c>
      <c r="Q69" s="275" t="str">
        <f>IF(L56="",Q58,IF(L60="","",IF(R60="","",IF(L60&gt;2,L58,IF(R60&gt;2,Q58,"")))))</f>
        <v>FRANCOIS LOUY</v>
      </c>
      <c r="R69" s="276"/>
      <c r="S69" s="277"/>
    </row>
    <row r="70" spans="1:21" s="36" customFormat="1" ht="22.15" customHeight="1" outlineLevel="1" thickBot="1" x14ac:dyDescent="0.25">
      <c r="B70" s="275" t="str">
        <f>IF(G46="",B49,IF(B50="","",IF(H50="","",IF(B50&gt;2,B49,IF(H50&gt;2,G49,"")))))</f>
        <v>ANDRE JADE</v>
      </c>
      <c r="C70" s="276"/>
      <c r="D70" s="277"/>
      <c r="E70" s="130">
        <v>7</v>
      </c>
      <c r="F70" s="131">
        <v>8</v>
      </c>
      <c r="G70" s="275" t="str">
        <f>IF(B56="",G59,IF(B60="","",IF(H60="","",IF(B60&gt;2,B59,IF(H60&gt;2,G59,"")))))</f>
        <v/>
      </c>
      <c r="H70" s="276"/>
      <c r="I70" s="277"/>
      <c r="J70" s="37"/>
      <c r="K70" s="35"/>
      <c r="L70" s="275" t="str">
        <f>IF(Q46="",L49,IF(L50="","",IF(R50="","",IF(L50&gt;2,L49,IF(R50&gt;2,Q49,"")))))</f>
        <v/>
      </c>
      <c r="M70" s="276"/>
      <c r="N70" s="277"/>
      <c r="O70" s="132">
        <v>17</v>
      </c>
      <c r="P70" s="133">
        <v>18</v>
      </c>
      <c r="Q70" s="275" t="str">
        <f>IF(L56="",Q59,IF(L60="","",IF(R60="","",IF(L60&gt;2,L59,IF(R60&gt;2,Q59,"")))))</f>
        <v>SURGOT CELIA</v>
      </c>
      <c r="R70" s="276"/>
      <c r="S70" s="277"/>
    </row>
    <row r="71" spans="1:21" ht="22.15" customHeight="1" x14ac:dyDescent="0.2">
      <c r="A71" s="29" t="str">
        <f>IF(D71="","",IF(D71&gt;1,1,0))</f>
        <v/>
      </c>
      <c r="B71" s="254" t="str">
        <f>IF(D71="","",SUM(A71:A77))</f>
        <v/>
      </c>
      <c r="C71" s="266"/>
      <c r="D71" s="78"/>
      <c r="E71" s="226"/>
      <c r="F71" s="227"/>
      <c r="G71" s="78"/>
      <c r="H71" s="253" t="str">
        <f>IF(G71="","",SUM(J71:J77))</f>
        <v/>
      </c>
      <c r="I71" s="254"/>
      <c r="J71" s="41" t="str">
        <f>IF(G71="","",IF(G71&gt;1,1,0))</f>
        <v/>
      </c>
      <c r="K71" s="44" t="str">
        <f>IF(N71="","",IF(N71&gt;1,1,0))</f>
        <v/>
      </c>
      <c r="L71" s="254" t="str">
        <f>IF(N71="","",SUM(K71:K77))</f>
        <v/>
      </c>
      <c r="M71" s="266"/>
      <c r="N71" s="78"/>
      <c r="O71" s="226"/>
      <c r="P71" s="227"/>
      <c r="Q71" s="78"/>
      <c r="R71" s="253" t="str">
        <f>IF(Q71="","",SUM(T71:T77))</f>
        <v/>
      </c>
      <c r="S71" s="254"/>
      <c r="T71" s="41" t="str">
        <f>IF(Q71="","",IF(Q71&gt;1,1,0))</f>
        <v/>
      </c>
      <c r="U71" s="30"/>
    </row>
    <row r="72" spans="1:21" ht="22.15" customHeight="1" x14ac:dyDescent="0.2">
      <c r="A72" s="29" t="str">
        <f t="shared" ref="A72:A77" si="0">IF(D72="","",IF(D72&gt;1,1,0))</f>
        <v/>
      </c>
      <c r="B72" s="256"/>
      <c r="C72" s="267"/>
      <c r="D72" s="79"/>
      <c r="E72" s="222"/>
      <c r="F72" s="223"/>
      <c r="G72" s="79"/>
      <c r="H72" s="255"/>
      <c r="I72" s="256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56"/>
      <c r="M72" s="267"/>
      <c r="N72" s="79"/>
      <c r="O72" s="222"/>
      <c r="P72" s="223"/>
      <c r="Q72" s="79"/>
      <c r="R72" s="255"/>
      <c r="S72" s="256"/>
      <c r="T72" s="41" t="str">
        <f t="shared" ref="T72:T77" si="3">IF(Q72="","",IF(Q72&gt;1,1,0))</f>
        <v/>
      </c>
      <c r="U72" s="30"/>
    </row>
    <row r="73" spans="1:21" ht="22.15" customHeight="1" x14ac:dyDescent="0.2">
      <c r="A73" s="29" t="str">
        <f t="shared" si="0"/>
        <v/>
      </c>
      <c r="B73" s="256"/>
      <c r="C73" s="267"/>
      <c r="D73" s="79"/>
      <c r="E73" s="222"/>
      <c r="F73" s="223"/>
      <c r="G73" s="79"/>
      <c r="H73" s="255"/>
      <c r="I73" s="256"/>
      <c r="J73" s="41" t="str">
        <f t="shared" si="1"/>
        <v/>
      </c>
      <c r="K73" s="44" t="str">
        <f t="shared" si="2"/>
        <v/>
      </c>
      <c r="L73" s="256"/>
      <c r="M73" s="267"/>
      <c r="N73" s="79"/>
      <c r="O73" s="222"/>
      <c r="P73" s="223"/>
      <c r="Q73" s="79"/>
      <c r="R73" s="255"/>
      <c r="S73" s="256"/>
      <c r="T73" s="41" t="str">
        <f t="shared" si="3"/>
        <v/>
      </c>
      <c r="U73" s="30"/>
    </row>
    <row r="74" spans="1:21" ht="22.15" customHeight="1" x14ac:dyDescent="0.2">
      <c r="A74" s="29" t="str">
        <f t="shared" si="0"/>
        <v/>
      </c>
      <c r="B74" s="256"/>
      <c r="C74" s="267"/>
      <c r="D74" s="79"/>
      <c r="E74" s="222"/>
      <c r="F74" s="223"/>
      <c r="G74" s="79"/>
      <c r="H74" s="255"/>
      <c r="I74" s="256"/>
      <c r="J74" s="41" t="str">
        <f t="shared" si="1"/>
        <v/>
      </c>
      <c r="K74" s="44" t="str">
        <f t="shared" si="2"/>
        <v/>
      </c>
      <c r="L74" s="256"/>
      <c r="M74" s="267"/>
      <c r="N74" s="79"/>
      <c r="O74" s="222"/>
      <c r="P74" s="223"/>
      <c r="Q74" s="79"/>
      <c r="R74" s="255"/>
      <c r="S74" s="256"/>
      <c r="T74" s="41" t="str">
        <f t="shared" si="3"/>
        <v/>
      </c>
      <c r="U74" s="30"/>
    </row>
    <row r="75" spans="1:21" ht="22.15" customHeight="1" x14ac:dyDescent="0.2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 t="str">
        <f t="shared" si="2"/>
        <v/>
      </c>
      <c r="L75" s="256"/>
      <c r="M75" s="267"/>
      <c r="N75" s="79"/>
      <c r="O75" s="222"/>
      <c r="P75" s="223"/>
      <c r="Q75" s="79"/>
      <c r="R75" s="255"/>
      <c r="S75" s="256"/>
      <c r="T75" s="41" t="str">
        <f t="shared" si="3"/>
        <v/>
      </c>
      <c r="U75" s="30"/>
    </row>
    <row r="76" spans="1:21" ht="22.15" customHeight="1" x14ac:dyDescent="0.2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 t="str">
        <f t="shared" si="2"/>
        <v/>
      </c>
      <c r="L76" s="256"/>
      <c r="M76" s="267"/>
      <c r="N76" s="79"/>
      <c r="O76" s="222"/>
      <c r="P76" s="223"/>
      <c r="Q76" s="79"/>
      <c r="R76" s="255"/>
      <c r="S76" s="256"/>
      <c r="T76" s="41" t="str">
        <f t="shared" si="3"/>
        <v/>
      </c>
      <c r="U76" s="30"/>
    </row>
    <row r="77" spans="1:21" ht="22.15" customHeight="1" thickBot="1" x14ac:dyDescent="0.25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80"/>
      <c r="O77" s="222"/>
      <c r="P77" s="223"/>
      <c r="Q77" s="80"/>
      <c r="R77" s="255"/>
      <c r="S77" s="256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8.15" customHeight="1" thickBot="1" x14ac:dyDescent="0.25">
      <c r="G80" s="232" t="str">
        <f>IF(G67="","",IF(B71="","",IF(H71="","",IF(B71&gt;3,G67,IF(H71&gt;3,B67,"")))))</f>
        <v/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/>
      </c>
      <c r="M80" s="233"/>
      <c r="N80" s="234"/>
      <c r="O80" s="40"/>
      <c r="P80" s="42"/>
      <c r="U80" s="42"/>
    </row>
    <row r="81" spans="6:21" s="36" customFormat="1" ht="22.15" customHeight="1" outlineLevel="1" x14ac:dyDescent="0.2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2.15" customHeight="1" outlineLevel="1" x14ac:dyDescent="0.2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2.15" customHeight="1" outlineLevel="1" thickBot="1" x14ac:dyDescent="0.25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2.15" customHeight="1" x14ac:dyDescent="0.2">
      <c r="F84" s="29" t="str">
        <f>IF(I84="","",IF(I84&gt;1,1,0))</f>
        <v/>
      </c>
      <c r="G84" s="254" t="str">
        <f>IF(I84="","",SUM(F84:F90))</f>
        <v/>
      </c>
      <c r="H84" s="266"/>
      <c r="I84" s="78"/>
      <c r="J84" s="226"/>
      <c r="K84" s="227"/>
      <c r="L84" s="78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2.15" customHeight="1" x14ac:dyDescent="0.2">
      <c r="F85" s="29" t="str">
        <f t="shared" ref="F85:F90" si="4">IF(I85="","",IF(I85&gt;1,1,0))</f>
        <v/>
      </c>
      <c r="G85" s="256"/>
      <c r="H85" s="267"/>
      <c r="I85" s="79"/>
      <c r="J85" s="222"/>
      <c r="K85" s="223"/>
      <c r="L85" s="79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2.15" customHeight="1" x14ac:dyDescent="0.2">
      <c r="F86" s="29" t="str">
        <f t="shared" si="4"/>
        <v/>
      </c>
      <c r="G86" s="256"/>
      <c r="H86" s="267"/>
      <c r="I86" s="79"/>
      <c r="J86" s="222"/>
      <c r="K86" s="223"/>
      <c r="L86" s="79"/>
      <c r="M86" s="255"/>
      <c r="N86" s="256"/>
      <c r="O86" s="41" t="str">
        <f t="shared" si="5"/>
        <v/>
      </c>
      <c r="P86" s="30"/>
      <c r="U86" s="30"/>
    </row>
    <row r="87" spans="6:21" ht="22.15" customHeight="1" x14ac:dyDescent="0.2">
      <c r="F87" s="29" t="str">
        <f t="shared" si="4"/>
        <v/>
      </c>
      <c r="G87" s="256"/>
      <c r="H87" s="267"/>
      <c r="I87" s="79"/>
      <c r="J87" s="222"/>
      <c r="K87" s="223"/>
      <c r="L87" s="79"/>
      <c r="M87" s="255"/>
      <c r="N87" s="256"/>
      <c r="O87" s="41" t="str">
        <f t="shared" si="5"/>
        <v/>
      </c>
      <c r="P87" s="30"/>
      <c r="U87" s="30"/>
    </row>
    <row r="88" spans="6:21" ht="22.15" customHeight="1" x14ac:dyDescent="0.2">
      <c r="F88" s="29" t="str">
        <f t="shared" si="4"/>
        <v/>
      </c>
      <c r="G88" s="256"/>
      <c r="H88" s="267"/>
      <c r="I88" s="79"/>
      <c r="J88" s="222"/>
      <c r="K88" s="223"/>
      <c r="L88" s="79"/>
      <c r="M88" s="255"/>
      <c r="N88" s="256"/>
      <c r="O88" s="41" t="str">
        <f t="shared" si="5"/>
        <v/>
      </c>
      <c r="P88" s="30"/>
      <c r="U88" s="30"/>
    </row>
    <row r="89" spans="6:21" ht="22.15" customHeight="1" x14ac:dyDescent="0.2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2.15" customHeight="1" thickBot="1" x14ac:dyDescent="0.25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8.1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.15" customHeight="1" thickBot="1" x14ac:dyDescent="0.25">
      <c r="F94" s="39"/>
      <c r="G94" s="238" t="str">
        <f>IF(G67="",B67,IF(B71="","",IF(H71="","",IF(B71&gt;3,B67,IF(H71&gt;3,G67,"")))))</f>
        <v>TS CHATENOY LE ROYAL</v>
      </c>
      <c r="H94" s="239"/>
      <c r="I94" s="240"/>
      <c r="J94" s="224" t="s">
        <v>11</v>
      </c>
      <c r="K94" s="225"/>
      <c r="L94" s="238" t="str">
        <f>IF(L67="",Q67,IF(L71="","",IF(R71="","",IF(L71&gt;3,L67,IF(R71&gt;3,Q67,"")))))</f>
        <v>STEP CHALON S/SAONE</v>
      </c>
      <c r="M94" s="239"/>
      <c r="N94" s="240"/>
      <c r="O94" s="38"/>
    </row>
    <row r="95" spans="6:21" ht="19.899999999999999" customHeight="1" outlineLevel="1" x14ac:dyDescent="0.2">
      <c r="F95" s="35"/>
      <c r="G95" s="235" t="str">
        <f>IF(G67="",B68,IF(B71="","",IF(H71="","",IF(B71&gt;3,B68,IF(H71&gt;3,G68,"")))))</f>
        <v>GARNIER MARIUS</v>
      </c>
      <c r="H95" s="236"/>
      <c r="I95" s="237"/>
      <c r="J95" s="136">
        <v>3</v>
      </c>
      <c r="K95" s="137">
        <v>4</v>
      </c>
      <c r="L95" s="235" t="str">
        <f>IF(L67="",Q68,IF(L71="","",IF(R71="","",IF(L71&gt;3,L68,IF(R71&gt;3,Q68,"")))))</f>
        <v>BOUTON ALIX</v>
      </c>
      <c r="M95" s="236"/>
      <c r="N95" s="237"/>
      <c r="O95" s="36"/>
    </row>
    <row r="96" spans="6:21" ht="19.899999999999999" customHeight="1" outlineLevel="1" x14ac:dyDescent="0.2">
      <c r="F96" s="35"/>
      <c r="G96" s="235" t="str">
        <f>IF(G67="",B69,IF(B71="","",IF(H71="","",IF(B71&gt;3,B69,IF(H71&gt;3,G69,"")))))</f>
        <v>GIBELY ANGE</v>
      </c>
      <c r="H96" s="236"/>
      <c r="I96" s="237"/>
      <c r="J96" s="136">
        <v>5</v>
      </c>
      <c r="K96" s="137">
        <v>6</v>
      </c>
      <c r="L96" s="235" t="str">
        <f>IF(L67="",Q69,IF(L71="","",IF(R71="","",IF(L71&gt;3,L69,IF(R71&gt;3,Q69,"")))))</f>
        <v>FRANCOIS LOUY</v>
      </c>
      <c r="M96" s="236"/>
      <c r="N96" s="237"/>
      <c r="O96" s="36"/>
    </row>
    <row r="97" spans="5:15" ht="19.899999999999999" customHeight="1" outlineLevel="1" thickBot="1" x14ac:dyDescent="0.25">
      <c r="F97" s="35"/>
      <c r="G97" s="235" t="str">
        <f>IF(G67="",B70,IF(B71="","",IF(H71="","",IF(B71&gt;3,B70,IF(H71&gt;3,G70,"")))))</f>
        <v>ANDRE JADE</v>
      </c>
      <c r="H97" s="236"/>
      <c r="I97" s="237"/>
      <c r="J97" s="136">
        <v>7</v>
      </c>
      <c r="K97" s="137">
        <v>8</v>
      </c>
      <c r="L97" s="235" t="str">
        <f>IF(L67="",Q70,IF(L71="","",IF(R71="","",IF(L71&gt;3,L70,IF(R71&gt;3,Q70,"")))))</f>
        <v>SURGOT CELIA</v>
      </c>
      <c r="M97" s="236"/>
      <c r="N97" s="237"/>
      <c r="O97" s="36"/>
    </row>
    <row r="98" spans="5:15" ht="22.15" customHeight="1" x14ac:dyDescent="0.2">
      <c r="E98" s="30"/>
      <c r="F98" s="44">
        <f>IF(I98="","",IF(I98&gt;1,1,0))</f>
        <v>1</v>
      </c>
      <c r="G98" s="254">
        <f>IF(I98="","",SUM(F98:F104))</f>
        <v>5</v>
      </c>
      <c r="H98" s="266"/>
      <c r="I98" s="78">
        <v>3</v>
      </c>
      <c r="J98" s="226"/>
      <c r="K98" s="227"/>
      <c r="L98" s="78">
        <v>0</v>
      </c>
      <c r="M98" s="253">
        <f>IF(L98="","",SUM(O98:O104))</f>
        <v>2</v>
      </c>
      <c r="N98" s="254"/>
      <c r="O98" s="41">
        <f>IF(L98="","",IF(L98&gt;1,1,0))</f>
        <v>0</v>
      </c>
    </row>
    <row r="99" spans="5:15" ht="22.15" customHeight="1" x14ac:dyDescent="0.2">
      <c r="E99" s="30"/>
      <c r="F99" s="44">
        <f t="shared" ref="F99:F104" si="6">IF(I99="","",IF(I99&gt;1,1,0))</f>
        <v>0</v>
      </c>
      <c r="G99" s="256"/>
      <c r="H99" s="267"/>
      <c r="I99" s="79">
        <v>1</v>
      </c>
      <c r="J99" s="222"/>
      <c r="K99" s="223"/>
      <c r="L99" s="79">
        <v>2</v>
      </c>
      <c r="M99" s="255"/>
      <c r="N99" s="256"/>
      <c r="O99" s="41">
        <f t="shared" ref="O99:O104" si="7">IF(L99="","",IF(L99&gt;1,1,0))</f>
        <v>1</v>
      </c>
    </row>
    <row r="100" spans="5:15" ht="22.15" customHeight="1" x14ac:dyDescent="0.2">
      <c r="E100" s="30"/>
      <c r="F100" s="44">
        <f t="shared" si="6"/>
        <v>1</v>
      </c>
      <c r="G100" s="256"/>
      <c r="H100" s="267"/>
      <c r="I100" s="79">
        <v>2</v>
      </c>
      <c r="J100" s="222"/>
      <c r="K100" s="223"/>
      <c r="L100" s="79">
        <v>1</v>
      </c>
      <c r="M100" s="255"/>
      <c r="N100" s="256"/>
      <c r="O100" s="41">
        <f t="shared" si="7"/>
        <v>0</v>
      </c>
    </row>
    <row r="101" spans="5:15" ht="22.15" customHeight="1" x14ac:dyDescent="0.2">
      <c r="E101" s="30"/>
      <c r="F101" s="44">
        <f t="shared" si="6"/>
        <v>1</v>
      </c>
      <c r="G101" s="256"/>
      <c r="H101" s="267"/>
      <c r="I101" s="79">
        <v>3</v>
      </c>
      <c r="J101" s="222"/>
      <c r="K101" s="223"/>
      <c r="L101" s="79">
        <v>0</v>
      </c>
      <c r="M101" s="255"/>
      <c r="N101" s="256"/>
      <c r="O101" s="41">
        <f t="shared" si="7"/>
        <v>0</v>
      </c>
    </row>
    <row r="102" spans="5:15" ht="22.15" customHeight="1" x14ac:dyDescent="0.2">
      <c r="E102" s="30"/>
      <c r="F102" s="44">
        <f t="shared" si="6"/>
        <v>1</v>
      </c>
      <c r="G102" s="256"/>
      <c r="H102" s="267"/>
      <c r="I102" s="79">
        <v>2</v>
      </c>
      <c r="J102" s="222"/>
      <c r="K102" s="223"/>
      <c r="L102" s="79">
        <v>1</v>
      </c>
      <c r="M102" s="255"/>
      <c r="N102" s="256"/>
      <c r="O102" s="41">
        <f t="shared" si="7"/>
        <v>0</v>
      </c>
    </row>
    <row r="103" spans="5:15" ht="22.15" customHeight="1" x14ac:dyDescent="0.2">
      <c r="E103" s="30"/>
      <c r="F103" s="44">
        <f t="shared" si="6"/>
        <v>0</v>
      </c>
      <c r="G103" s="256"/>
      <c r="H103" s="267"/>
      <c r="I103" s="79">
        <v>1</v>
      </c>
      <c r="J103" s="222"/>
      <c r="K103" s="223"/>
      <c r="L103" s="79">
        <v>2</v>
      </c>
      <c r="M103" s="255"/>
      <c r="N103" s="256"/>
      <c r="O103" s="41">
        <f t="shared" si="7"/>
        <v>1</v>
      </c>
    </row>
    <row r="104" spans="5:15" ht="22.15" customHeight="1" thickBot="1" x14ac:dyDescent="0.25">
      <c r="E104" s="30"/>
      <c r="F104" s="44">
        <f t="shared" si="6"/>
        <v>1</v>
      </c>
      <c r="G104" s="256"/>
      <c r="H104" s="267"/>
      <c r="I104" s="80">
        <v>3</v>
      </c>
      <c r="J104" s="222"/>
      <c r="K104" s="223"/>
      <c r="L104" s="80">
        <v>0</v>
      </c>
      <c r="M104" s="255"/>
      <c r="N104" s="256"/>
      <c r="O104" s="41">
        <f t="shared" si="7"/>
        <v>0</v>
      </c>
    </row>
    <row r="105" spans="5:15" ht="28.15" customHeight="1" x14ac:dyDescent="0.2">
      <c r="E105" s="30"/>
    </row>
    <row r="106" spans="5:15" ht="28.15" customHeight="1" x14ac:dyDescent="0.2">
      <c r="E106" s="30"/>
    </row>
    <row r="107" spans="5:15" ht="28.15" customHeight="1" x14ac:dyDescent="0.2">
      <c r="E107" s="30"/>
    </row>
    <row r="108" spans="5:15" ht="28.15" customHeight="1" x14ac:dyDescent="0.2">
      <c r="E108" s="30"/>
    </row>
    <row r="109" spans="5:15" ht="28.15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 x14ac:dyDescent="0.2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5" style="97" hidden="1" customWidth="1" outlineLevel="1"/>
    <col min="11" max="11" width="18.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5" style="97" customWidth="1"/>
    <col min="17" max="16384" width="10.7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.15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.15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CARABINE - BOURGOGNE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.15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.15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5.9" customHeight="1" x14ac:dyDescent="0.2">
      <c r="A7" s="54">
        <v>1</v>
      </c>
      <c r="B7" s="55" t="str">
        <f>IF(A7="","",IF(P.F.!G98&gt;3,P.F.!G94,IF(P.F.!M98&gt;3,P.F.!L94,"")))</f>
        <v>TS CHATENOY LE ROYAL</v>
      </c>
      <c r="C7" s="55"/>
      <c r="D7" s="57">
        <f>IF(A7="","",VLOOKUP(B7,'M Q'!B$5:T$20,2,0))</f>
        <v>471185</v>
      </c>
      <c r="E7" s="182">
        <f>IF(A7="","",VLOOKUP(B7,'M Q'!B$5:T$20,18,0))</f>
        <v>480.40000000000003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5.9" customHeight="1" x14ac:dyDescent="0.2">
      <c r="A8" s="54">
        <f>IF(INFO!B8&gt;1,2,"")</f>
        <v>2</v>
      </c>
      <c r="B8" s="55" t="str">
        <f>IF(A8="","",IF(P.F.!G98&gt;3,P.F.!L94,IF(P.F.!M98&gt;3,P.F.!G94,"")))</f>
        <v>STEP CHALON S/SAONE</v>
      </c>
      <c r="C8" s="55"/>
      <c r="D8" s="57">
        <f>IF(A8="","",VLOOKUP(B8,'M Q'!B$5:T$20,2,0))</f>
        <v>471126</v>
      </c>
      <c r="E8" s="182">
        <f>IF(A8="","",VLOOKUP(B8,'M Q'!B$5:T$20,18,0))</f>
        <v>459.2</v>
      </c>
      <c r="F8" s="75">
        <f>IF(A8="","",VLOOKUP(B8,'M Q'!B$5:T$20,19,0))</f>
        <v>0</v>
      </c>
      <c r="G8" s="283"/>
      <c r="H8" s="19"/>
    </row>
    <row r="9" spans="1:18" s="100" customFormat="1" ht="25.9" customHeight="1" x14ac:dyDescent="0.2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5.9" customHeight="1" x14ac:dyDescent="0.2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5.9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5.9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5.9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5.9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5.9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5.9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5.9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5.9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5.9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5.9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5.9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5.9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5.9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5.9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5.9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5.9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5.9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5.9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5.9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5.9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5.9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5.9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5.9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5.9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5.9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5.9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5.9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5.9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5.9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5.9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5.9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5.9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5.9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5.9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5.9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5.9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25" x14ac:dyDescent="0.2"/>
    <row r="132" s="101" customFormat="1" ht="23.25" x14ac:dyDescent="0.2"/>
    <row r="133" s="101" customFormat="1" ht="23.25" x14ac:dyDescent="0.2"/>
    <row r="134" s="101" customFormat="1" ht="23.25" x14ac:dyDescent="0.2"/>
    <row r="135" s="101" customFormat="1" ht="23.25" x14ac:dyDescent="0.2"/>
    <row r="136" s="101" customFormat="1" ht="23.25" x14ac:dyDescent="0.2"/>
    <row r="137" s="101" customFormat="1" ht="23.25" x14ac:dyDescent="0.2"/>
    <row r="138" s="101" customFormat="1" ht="23.25" x14ac:dyDescent="0.2"/>
    <row r="139" s="101" customFormat="1" ht="23.25" x14ac:dyDescent="0.2"/>
    <row r="140" s="101" customFormat="1" ht="23.25" x14ac:dyDescent="0.2"/>
    <row r="141" s="101" customFormat="1" ht="23.25" x14ac:dyDescent="0.2"/>
    <row r="142" s="101" customFormat="1" ht="23.25" x14ac:dyDescent="0.2"/>
    <row r="143" s="101" customFormat="1" ht="23.25" x14ac:dyDescent="0.2"/>
    <row r="144" s="101" customFormat="1" ht="23.25" x14ac:dyDescent="0.2"/>
    <row r="145" s="101" customFormat="1" ht="23.25" x14ac:dyDescent="0.2"/>
    <row r="146" s="101" customFormat="1" ht="23.25" x14ac:dyDescent="0.2"/>
    <row r="147" s="101" customFormat="1" ht="23.25" x14ac:dyDescent="0.2"/>
    <row r="148" s="101" customFormat="1" ht="23.25" x14ac:dyDescent="0.2"/>
    <row r="149" s="101" customFormat="1" ht="23.25" x14ac:dyDescent="0.2"/>
    <row r="150" s="101" customFormat="1" ht="23.25" x14ac:dyDescent="0.2"/>
    <row r="151" s="101" customFormat="1" ht="23.25" x14ac:dyDescent="0.2"/>
    <row r="152" s="101" customFormat="1" ht="23.25" x14ac:dyDescent="0.2"/>
    <row r="153" s="101" customFormat="1" ht="23.25" x14ac:dyDescent="0.2"/>
    <row r="154" s="101" customFormat="1" ht="23.25" x14ac:dyDescent="0.2"/>
    <row r="155" s="101" customFormat="1" ht="23.25" x14ac:dyDescent="0.2"/>
    <row r="156" s="101" customFormat="1" ht="23.25" x14ac:dyDescent="0.2"/>
    <row r="157" s="101" customFormat="1" ht="23.25" x14ac:dyDescent="0.2"/>
    <row r="158" s="101" customFormat="1" ht="23.25" x14ac:dyDescent="0.2"/>
    <row r="159" s="101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thierry THEVENET</cp:lastModifiedBy>
  <cp:lastPrinted>2014-10-14T08:39:11Z</cp:lastPrinted>
  <dcterms:created xsi:type="dcterms:W3CDTF">2004-11-19T11:01:00Z</dcterms:created>
  <dcterms:modified xsi:type="dcterms:W3CDTF">2018-01-27T14:37:59Z</dcterms:modified>
</cp:coreProperties>
</file>