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ierry\Desktop\Chpts Clubs 10m 2016-2017 Adultes &amp; EDT\"/>
    </mc:Choice>
  </mc:AlternateContent>
  <bookViews>
    <workbookView xWindow="690" yWindow="0" windowWidth="23250" windowHeight="1317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A8" i="21"/>
  <c r="B8" i="21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O84" i="38"/>
  <c r="O85" i="38"/>
  <c r="O86" i="38"/>
  <c r="O87" i="38"/>
  <c r="O88" i="38"/>
  <c r="O89" i="38"/>
  <c r="O90" i="38"/>
  <c r="M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<sst xmlns="http://schemas.openxmlformats.org/spreadsheetml/2006/main" count="192" uniqueCount="87">
  <si>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</si>
  <si>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</si>
  <si>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</si>
  <si>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</si>
  <si>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</si>
  <si>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</si>
  <si>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</si>
  <si>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</si>
  <si>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</si>
  <si>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</si>
  <si>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</si>
  <si>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</si>
  <si>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</si>
  <si>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</si>
  <si>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</si>
  <si>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</si>
  <si>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</si>
  <si>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</si>
  <si>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</si>
  <si>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</si>
  <si>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</si>
  <si>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</si>
  <si>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</si>
  <si>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</si>
  <si>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</si>
  <si>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</si>
  <si>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</si>
  <si>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</si>
  <si>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</si>
  <si>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</si>
  <si>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</si>
  <si>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</si>
  <si>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</si>
  <si>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</si>
  <si>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</si>
  <si>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</si>
  <si>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</si>
  <si>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</si>
  <si>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</si>
  <si>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</si>
  <si>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</si>
  <si>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</si>
  <si>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</si>
  <si>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</si>
  <si>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</si>
  <si>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</si>
  <si>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</si>
  <si>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</si>
  <si>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</si>
  <si>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</si>
  <si>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</si>
  <si>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</si>
  <si>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</si>
  <si>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</si>
  <si>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</si>
  <si>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</si>
  <si>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</si>
  <si>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</si>
  <si>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</si>
  <si>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</si>
  <si>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</si>
  <si>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</si>
  <si>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</si>
  <si>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</si>
  <si>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</si>
  <si>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BOURGOGNE</t>
  </si>
  <si>
    <t>THEVENET Thierry</t>
  </si>
  <si>
    <t>06 85 02 17 86</t>
  </si>
  <si>
    <t>comitetir71@orange.fr</t>
  </si>
  <si>
    <t>TS CHATENOY 1</t>
  </si>
  <si>
    <t>TS CHATENOY 2</t>
  </si>
  <si>
    <t>CHALON SUR SAONE</t>
  </si>
  <si>
    <t>16 - 17</t>
  </si>
  <si>
    <t>STEP CHALON 1</t>
  </si>
  <si>
    <t>STEP CHALON 2</t>
  </si>
  <si>
    <t>BRANDAO GABIN</t>
  </si>
  <si>
    <t>RADREAU JULES</t>
  </si>
  <si>
    <t>FAUTRELLE LUAN</t>
  </si>
  <si>
    <t>BROQUIE CLEMENCE</t>
  </si>
  <si>
    <t>GARNIER MARIUS</t>
  </si>
  <si>
    <t>ANDRE JADE</t>
  </si>
  <si>
    <t>SURGOT CELIA</t>
  </si>
  <si>
    <t>BOREY QUENTIN</t>
  </si>
  <si>
    <t>DELHOMMELLE ETHAN</t>
  </si>
  <si>
    <t>BERNARD ETHAN</t>
  </si>
  <si>
    <t>GERMAIN DAMIEN</t>
  </si>
  <si>
    <t>PRECHEUR MAXIME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</si>
</sst>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zoomScaleSheetLayoutView="100" workbookViewId="0">
      <selection activeCell="B12" sqref="B12"/>
    </sheetView>
  </sheetViews>
  <sheetFormatPr baseColWidth="10" defaultColWidth="10.75" defaultRowHeight="12.75" x14ac:dyDescent="0.2"/>
  <cols>
    <col min="1" max="1" width="16.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7.15" customHeight="1" x14ac:dyDescent="0.2">
      <c r="A1" s="184" t="s">
        <v>3</v>
      </c>
      <c r="B1" s="185"/>
      <c r="C1" s="185"/>
    </row>
    <row r="2" spans="1:3" ht="25.15" customHeight="1" x14ac:dyDescent="0.2">
      <c r="A2" s="186" t="s">
        <v>18</v>
      </c>
      <c r="B2" s="186"/>
      <c r="C2" s="186"/>
    </row>
    <row r="3" spans="1:3" ht="25.15" customHeight="1" x14ac:dyDescent="0.2">
      <c r="A3" s="189" t="s">
        <v>29</v>
      </c>
      <c r="B3" s="189"/>
      <c r="C3" s="189"/>
    </row>
    <row r="4" spans="1:3" ht="25.15" customHeight="1" x14ac:dyDescent="0.2">
      <c r="A4" s="110" t="s">
        <v>5</v>
      </c>
      <c r="B4" s="61">
        <v>41287</v>
      </c>
      <c r="C4" s="111"/>
    </row>
    <row r="5" spans="1:3" ht="25.15" customHeight="1" x14ac:dyDescent="0.2">
      <c r="A5" s="110" t="s">
        <v>46</v>
      </c>
      <c r="B5" s="10" t="s">
        <v>71</v>
      </c>
      <c r="C5" s="111"/>
    </row>
    <row r="6" spans="1:3" ht="25.15" customHeight="1" x14ac:dyDescent="0.2">
      <c r="A6" s="110" t="s">
        <v>49</v>
      </c>
      <c r="B6" s="52" t="s">
        <v>72</v>
      </c>
      <c r="C6" s="111"/>
    </row>
    <row r="7" spans="1:3" ht="25.15" customHeight="1" x14ac:dyDescent="0.2">
      <c r="A7" s="110" t="s">
        <v>0</v>
      </c>
      <c r="B7" s="10" t="s">
        <v>64</v>
      </c>
      <c r="C7" s="111" t="s">
        <v>4</v>
      </c>
    </row>
    <row r="8" spans="1:3" ht="25.15" customHeight="1" x14ac:dyDescent="0.2">
      <c r="A8" s="110" t="s">
        <v>47</v>
      </c>
      <c r="B8" s="15">
        <v>4</v>
      </c>
      <c r="C8" s="111"/>
    </row>
    <row r="9" spans="1:3" ht="25.15" customHeight="1" x14ac:dyDescent="0.2">
      <c r="A9" s="9" t="s">
        <v>31</v>
      </c>
      <c r="B9" s="51" t="s">
        <v>65</v>
      </c>
      <c r="C9" s="111" t="s">
        <v>50</v>
      </c>
    </row>
    <row r="10" spans="1:3" ht="25.15" customHeight="1" x14ac:dyDescent="0.2">
      <c r="A10" s="112"/>
      <c r="B10" s="112"/>
      <c r="C10" s="113"/>
    </row>
    <row r="11" spans="1:3" ht="25.1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66</v>
      </c>
      <c r="C12" s="114"/>
    </row>
    <row r="13" spans="1:3" ht="30" customHeight="1" x14ac:dyDescent="0.2">
      <c r="A13" s="9" t="s">
        <v>26</v>
      </c>
      <c r="B13" s="13" t="s">
        <v>67</v>
      </c>
      <c r="C13" s="111"/>
    </row>
    <row r="14" spans="1:3" ht="30" customHeight="1" x14ac:dyDescent="0.2">
      <c r="A14" s="9" t="s">
        <v>27</v>
      </c>
      <c r="B14" s="16" t="s">
        <v>68</v>
      </c>
      <c r="C14" s="115"/>
    </row>
    <row r="16" spans="1:3" ht="91.9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zoomScale="40" zoomScaleNormal="4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O8" sqref="O8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5" style="7" customWidth="1"/>
    <col min="19" max="19" width="10.7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75" style="3" customWidth="1"/>
    <col min="30" max="16384" width="10.75" style="3"/>
  </cols>
  <sheetData>
    <row r="1" spans="1:27" ht="37.9" customHeight="1" x14ac:dyDescent="0.2">
      <c r="A1" s="192" t="str">
        <f>CONCATENATE(INFO!B7," - ",INFO!B9)</f>
        <v>CARABINE - BOURGOGNE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" customHeight="1" thickTop="1" x14ac:dyDescent="0.2">
      <c r="A5" s="117">
        <v>1</v>
      </c>
      <c r="B5" s="179">
        <f>RANK(W5,W$5:W$44,0)</f>
        <v>3</v>
      </c>
      <c r="C5" s="71" t="s">
        <v>73</v>
      </c>
      <c r="D5" s="72">
        <v>471126</v>
      </c>
      <c r="E5" s="73" t="s">
        <v>81</v>
      </c>
      <c r="F5" s="140">
        <v>84.5</v>
      </c>
      <c r="G5" s="140">
        <v>84.5</v>
      </c>
      <c r="H5" s="141">
        <f t="shared" ref="H5:H44" si="0">SUM(F5:G5)</f>
        <v>169</v>
      </c>
      <c r="I5" s="74"/>
      <c r="J5" s="73" t="s">
        <v>83</v>
      </c>
      <c r="K5" s="140">
        <v>62.7</v>
      </c>
      <c r="L5" s="140">
        <v>53.2</v>
      </c>
      <c r="M5" s="141">
        <f t="shared" ref="M5:M44" si="1">SUM(K5:L5)</f>
        <v>115.9</v>
      </c>
      <c r="N5" s="74"/>
      <c r="O5" s="73" t="s">
        <v>84</v>
      </c>
      <c r="P5" s="140">
        <v>65.2</v>
      </c>
      <c r="Q5" s="140">
        <v>52.9</v>
      </c>
      <c r="R5" s="141">
        <f t="shared" ref="R5:R44" si="2">SUM(P5:Q5)</f>
        <v>118.1</v>
      </c>
      <c r="S5" s="74"/>
      <c r="T5" s="146">
        <f t="shared" ref="T5:T44" si="3">SUM(H5+M5+R5)</f>
        <v>403</v>
      </c>
      <c r="U5" s="120">
        <f>I5+N5+S5</f>
        <v>0</v>
      </c>
      <c r="W5" s="172">
        <f>H5+M5+R5+(0.000001*(I5+N5+S5))+(0.000000001*(G5+L5+Q5))</f>
        <v>403.00000019060002</v>
      </c>
    </row>
    <row r="6" spans="1:27" s="4" customFormat="1" ht="46.9" customHeight="1" x14ac:dyDescent="0.2">
      <c r="A6" s="118">
        <v>2</v>
      </c>
      <c r="B6" s="180">
        <f t="shared" ref="B6:B44" si="4">RANK(W6,W$5:W$44,0)</f>
        <v>1</v>
      </c>
      <c r="C6" s="62" t="s">
        <v>70</v>
      </c>
      <c r="D6" s="64">
        <v>471185</v>
      </c>
      <c r="E6" s="67" t="s">
        <v>77</v>
      </c>
      <c r="F6" s="142">
        <v>71.8</v>
      </c>
      <c r="G6" s="142">
        <v>72.599999999999994</v>
      </c>
      <c r="H6" s="143">
        <f t="shared" si="0"/>
        <v>144.39999999999998</v>
      </c>
      <c r="I6" s="68"/>
      <c r="J6" s="67" t="s">
        <v>75</v>
      </c>
      <c r="K6" s="142">
        <v>80.599999999999994</v>
      </c>
      <c r="L6" s="142">
        <v>82.3</v>
      </c>
      <c r="M6" s="143">
        <f t="shared" si="1"/>
        <v>162.89999999999998</v>
      </c>
      <c r="N6" s="68"/>
      <c r="O6" s="67" t="s">
        <v>76</v>
      </c>
      <c r="P6" s="142">
        <v>89.8</v>
      </c>
      <c r="Q6" s="142">
        <v>85.1</v>
      </c>
      <c r="R6" s="143">
        <f t="shared" si="2"/>
        <v>174.89999999999998</v>
      </c>
      <c r="S6" s="68"/>
      <c r="T6" s="147">
        <f t="shared" si="3"/>
        <v>482.19999999999993</v>
      </c>
      <c r="U6" s="121">
        <f t="shared" ref="U6:U44" si="5">I6+N6+S6</f>
        <v>0</v>
      </c>
      <c r="W6" s="172">
        <f t="shared" ref="W6:W44" si="6">H6+M6+R6+(0.000001*(I6+N6+S6))+(0.000000001*(G6+L6+Q6))</f>
        <v>482.20000023999995</v>
      </c>
    </row>
    <row r="7" spans="1:27" s="4" customFormat="1" ht="46.9" customHeight="1" x14ac:dyDescent="0.2">
      <c r="A7" s="118">
        <v>3</v>
      </c>
      <c r="B7" s="180">
        <f t="shared" si="4"/>
        <v>2</v>
      </c>
      <c r="C7" s="62" t="s">
        <v>69</v>
      </c>
      <c r="D7" s="64">
        <v>471185</v>
      </c>
      <c r="E7" s="67" t="s">
        <v>78</v>
      </c>
      <c r="F7" s="142">
        <v>74.3</v>
      </c>
      <c r="G7" s="142">
        <v>69.3</v>
      </c>
      <c r="H7" s="143">
        <f t="shared" si="0"/>
        <v>143.6</v>
      </c>
      <c r="I7" s="68"/>
      <c r="J7" s="67" t="s">
        <v>79</v>
      </c>
      <c r="K7" s="142">
        <v>65.8</v>
      </c>
      <c r="L7" s="142">
        <v>73.900000000000006</v>
      </c>
      <c r="M7" s="143">
        <f t="shared" si="1"/>
        <v>139.69999999999999</v>
      </c>
      <c r="N7" s="68"/>
      <c r="O7" s="67" t="s">
        <v>80</v>
      </c>
      <c r="P7" s="142">
        <v>84.6</v>
      </c>
      <c r="Q7" s="142">
        <v>85.2</v>
      </c>
      <c r="R7" s="143">
        <f t="shared" si="2"/>
        <v>169.8</v>
      </c>
      <c r="S7" s="68"/>
      <c r="T7" s="147">
        <f t="shared" si="3"/>
        <v>453.09999999999997</v>
      </c>
      <c r="U7" s="121">
        <f t="shared" si="5"/>
        <v>0</v>
      </c>
      <c r="W7" s="172">
        <f t="shared" si="6"/>
        <v>453.10000022839995</v>
      </c>
    </row>
    <row r="8" spans="1:27" s="4" customFormat="1" ht="46.9" customHeight="1" x14ac:dyDescent="0.2">
      <c r="A8" s="118">
        <v>4</v>
      </c>
      <c r="B8" s="180">
        <f t="shared" si="4"/>
        <v>4</v>
      </c>
      <c r="C8" s="62" t="s">
        <v>74</v>
      </c>
      <c r="D8" s="64">
        <v>471126</v>
      </c>
      <c r="E8" s="67" t="s">
        <v>82</v>
      </c>
      <c r="F8" s="142">
        <v>81</v>
      </c>
      <c r="G8" s="142">
        <v>76.5</v>
      </c>
      <c r="H8" s="143">
        <f t="shared" si="0"/>
        <v>157.5</v>
      </c>
      <c r="I8" s="68"/>
      <c r="J8" s="67" t="s">
        <v>85</v>
      </c>
      <c r="K8" s="142">
        <v>49.9</v>
      </c>
      <c r="L8" s="142">
        <v>56.5</v>
      </c>
      <c r="M8" s="143">
        <f t="shared" si="1"/>
        <v>106.4</v>
      </c>
      <c r="N8" s="68"/>
      <c r="O8" s="67" t="s">
        <v>86</v>
      </c>
      <c r="P8" s="142">
        <v>70.900000000000006</v>
      </c>
      <c r="Q8" s="142">
        <v>64</v>
      </c>
      <c r="R8" s="143">
        <f t="shared" si="2"/>
        <v>134.9</v>
      </c>
      <c r="S8" s="68"/>
      <c r="T8" s="147">
        <f t="shared" si="3"/>
        <v>398.79999999999995</v>
      </c>
      <c r="U8" s="121">
        <f t="shared" si="5"/>
        <v>0</v>
      </c>
      <c r="W8" s="172">
        <f t="shared" si="6"/>
        <v>398.80000019699997</v>
      </c>
    </row>
    <row r="9" spans="1:27" s="4" customFormat="1" ht="46.9" customHeight="1" x14ac:dyDescent="0.2">
      <c r="A9" s="118">
        <v>5</v>
      </c>
      <c r="B9" s="180">
        <f t="shared" si="4"/>
        <v>5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" customHeight="1" x14ac:dyDescent="0.2">
      <c r="A10" s="118">
        <v>6</v>
      </c>
      <c r="B10" s="180">
        <f t="shared" si="4"/>
        <v>5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" customHeight="1" x14ac:dyDescent="0.2">
      <c r="A11" s="118">
        <v>7</v>
      </c>
      <c r="B11" s="180">
        <f t="shared" si="4"/>
        <v>5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" customHeight="1" x14ac:dyDescent="0.2">
      <c r="A12" s="118">
        <v>8</v>
      </c>
      <c r="B12" s="180">
        <f t="shared" si="4"/>
        <v>5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" customHeight="1" x14ac:dyDescent="0.2">
      <c r="A13" s="118">
        <v>9</v>
      </c>
      <c r="B13" s="180">
        <f t="shared" si="4"/>
        <v>5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" customHeight="1" x14ac:dyDescent="0.2">
      <c r="A14" s="118">
        <v>10</v>
      </c>
      <c r="B14" s="180">
        <f t="shared" si="4"/>
        <v>5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" customHeight="1" x14ac:dyDescent="0.2">
      <c r="A15" s="118">
        <v>11</v>
      </c>
      <c r="B15" s="180">
        <f t="shared" si="4"/>
        <v>5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" customHeight="1" x14ac:dyDescent="0.2">
      <c r="A16" s="118">
        <v>12</v>
      </c>
      <c r="B16" s="180">
        <f t="shared" si="4"/>
        <v>5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" customHeight="1" x14ac:dyDescent="0.2">
      <c r="A17" s="118">
        <v>13</v>
      </c>
      <c r="B17" s="180">
        <f t="shared" si="4"/>
        <v>5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" customHeight="1" x14ac:dyDescent="0.2">
      <c r="A18" s="118">
        <v>14</v>
      </c>
      <c r="B18" s="180">
        <f t="shared" si="4"/>
        <v>5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" customHeight="1" x14ac:dyDescent="0.2">
      <c r="A19" s="118">
        <v>15</v>
      </c>
      <c r="B19" s="180">
        <f t="shared" si="4"/>
        <v>5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" customHeight="1" x14ac:dyDescent="0.2">
      <c r="A20" s="118">
        <v>16</v>
      </c>
      <c r="B20" s="180">
        <f t="shared" si="4"/>
        <v>5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" customHeight="1" x14ac:dyDescent="0.2">
      <c r="A21" s="118">
        <v>17</v>
      </c>
      <c r="B21" s="180">
        <f t="shared" si="4"/>
        <v>5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" customHeight="1" x14ac:dyDescent="0.2">
      <c r="A22" s="118">
        <v>18</v>
      </c>
      <c r="B22" s="180">
        <f t="shared" si="4"/>
        <v>5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" customHeight="1" x14ac:dyDescent="0.2">
      <c r="A23" s="118">
        <v>19</v>
      </c>
      <c r="B23" s="180">
        <f t="shared" si="4"/>
        <v>5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" customHeight="1" x14ac:dyDescent="0.2">
      <c r="A24" s="118">
        <v>20</v>
      </c>
      <c r="B24" s="180">
        <f t="shared" si="4"/>
        <v>5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" customHeight="1" x14ac:dyDescent="0.2">
      <c r="A25" s="118">
        <v>21</v>
      </c>
      <c r="B25" s="180">
        <f t="shared" si="4"/>
        <v>5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" customHeight="1" x14ac:dyDescent="0.2">
      <c r="A26" s="118">
        <v>22</v>
      </c>
      <c r="B26" s="180">
        <f t="shared" si="4"/>
        <v>5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" customHeight="1" x14ac:dyDescent="0.2">
      <c r="A27" s="118">
        <v>23</v>
      </c>
      <c r="B27" s="180">
        <f t="shared" si="4"/>
        <v>5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" customHeight="1" x14ac:dyDescent="0.2">
      <c r="A28" s="118">
        <v>24</v>
      </c>
      <c r="B28" s="180">
        <f t="shared" si="4"/>
        <v>5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" customHeight="1" x14ac:dyDescent="0.2">
      <c r="A29" s="118">
        <v>25</v>
      </c>
      <c r="B29" s="180">
        <f t="shared" si="4"/>
        <v>5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" customHeight="1" x14ac:dyDescent="0.2">
      <c r="A30" s="118">
        <v>26</v>
      </c>
      <c r="B30" s="180">
        <f t="shared" si="4"/>
        <v>5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" customHeight="1" x14ac:dyDescent="0.2">
      <c r="A31" s="118">
        <v>27</v>
      </c>
      <c r="B31" s="180">
        <f t="shared" si="4"/>
        <v>5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" customHeight="1" x14ac:dyDescent="0.2">
      <c r="A32" s="118">
        <v>28</v>
      </c>
      <c r="B32" s="180">
        <f t="shared" si="4"/>
        <v>5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" customHeight="1" x14ac:dyDescent="0.2">
      <c r="A33" s="118">
        <v>29</v>
      </c>
      <c r="B33" s="180">
        <f t="shared" si="4"/>
        <v>5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" customHeight="1" x14ac:dyDescent="0.2">
      <c r="A34" s="118">
        <v>30</v>
      </c>
      <c r="B34" s="180">
        <f t="shared" si="4"/>
        <v>5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" customHeight="1" x14ac:dyDescent="0.2">
      <c r="A35" s="118">
        <v>31</v>
      </c>
      <c r="B35" s="180">
        <f t="shared" si="4"/>
        <v>5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" customHeight="1" x14ac:dyDescent="0.2">
      <c r="A36" s="118">
        <v>32</v>
      </c>
      <c r="B36" s="180">
        <f t="shared" si="4"/>
        <v>5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" customHeight="1" x14ac:dyDescent="0.2">
      <c r="A37" s="118">
        <v>33</v>
      </c>
      <c r="B37" s="180">
        <f t="shared" si="4"/>
        <v>5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" customHeight="1" x14ac:dyDescent="0.2">
      <c r="A38" s="118">
        <v>34</v>
      </c>
      <c r="B38" s="180">
        <f t="shared" si="4"/>
        <v>5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" customHeight="1" x14ac:dyDescent="0.2">
      <c r="A39" s="118">
        <v>35</v>
      </c>
      <c r="B39" s="180">
        <f t="shared" si="4"/>
        <v>5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" customHeight="1" x14ac:dyDescent="0.2">
      <c r="A40" s="118">
        <v>36</v>
      </c>
      <c r="B40" s="180">
        <f t="shared" si="4"/>
        <v>5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" customHeight="1" x14ac:dyDescent="0.2">
      <c r="A41" s="118">
        <v>37</v>
      </c>
      <c r="B41" s="180">
        <f t="shared" si="4"/>
        <v>5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" customHeight="1" x14ac:dyDescent="0.2">
      <c r="A42" s="118">
        <v>38</v>
      </c>
      <c r="B42" s="180">
        <f t="shared" si="4"/>
        <v>5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" customHeight="1" x14ac:dyDescent="0.2">
      <c r="A43" s="118">
        <v>39</v>
      </c>
      <c r="B43" s="180">
        <f t="shared" si="4"/>
        <v>5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" customHeight="1" thickBot="1" x14ac:dyDescent="0.25">
      <c r="A44" s="119">
        <v>40</v>
      </c>
      <c r="B44" s="181">
        <f t="shared" si="4"/>
        <v>5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5" style="90" bestFit="1" customWidth="1"/>
    <col min="3" max="3" width="21.125" style="90" customWidth="1"/>
    <col min="4" max="4" width="50.7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75" style="81" customWidth="1"/>
    <col min="29" max="16384" width="10.75" style="81"/>
  </cols>
  <sheetData>
    <row r="1" spans="1:26" ht="145.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" customHeight="1" x14ac:dyDescent="0.2">
      <c r="A2" s="210" t="str">
        <f>CONCATENATE("MATCH DE QUALIFICATION"," - ",INFO!B7," - ",INFO!B9)</f>
        <v>MATCH DE QUALIFICATION - CARABINE - BOURGOGNE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" customHeight="1" x14ac:dyDescent="0.2">
      <c r="A5" s="85">
        <v>1</v>
      </c>
      <c r="B5" s="139" t="str">
        <f>VLOOKUP(A5,saisie!B$5:W$44,2,0)</f>
        <v>TS CHATENOY 2</v>
      </c>
      <c r="C5" s="86">
        <f>VLOOKUP(A5,saisie!B$5:W$44,3,0)</f>
        <v>471185</v>
      </c>
      <c r="D5" s="83" t="str">
        <f>VLOOKUP(A5,saisie!B$5:W$44,4,0)</f>
        <v>FAUTRELLE LUAN</v>
      </c>
      <c r="E5" s="149">
        <f>VLOOKUP(A5,saisie!B$5:W$44,5,0)</f>
        <v>71.8</v>
      </c>
      <c r="F5" s="149">
        <f>VLOOKUP(A5,saisie!B$5:W$44,6,0)</f>
        <v>72.599999999999994</v>
      </c>
      <c r="G5" s="150">
        <f t="shared" ref="G5:G44" si="0">SUM(E5:F5)</f>
        <v>144.39999999999998</v>
      </c>
      <c r="H5" s="87">
        <f>VLOOKUP(A5,saisie!B$5:W$44,8,0)</f>
        <v>0</v>
      </c>
      <c r="I5" s="83" t="str">
        <f>VLOOKUP(A5,saisie!B$5:W$44,9,0)</f>
        <v>BRANDAO GABIN</v>
      </c>
      <c r="J5" s="149">
        <f>VLOOKUP(A5,saisie!B$5:W$44,10,0)</f>
        <v>80.599999999999994</v>
      </c>
      <c r="K5" s="149">
        <f>VLOOKUP(A5,saisie!B$5:W$44,11,0)</f>
        <v>82.3</v>
      </c>
      <c r="L5" s="150">
        <f t="shared" ref="L5:L44" si="1">SUM(J5:K5)</f>
        <v>162.89999999999998</v>
      </c>
      <c r="M5" s="87">
        <f>VLOOKUP(A5,saisie!B$5:W$44,13,0)</f>
        <v>0</v>
      </c>
      <c r="N5" s="83" t="str">
        <f>VLOOKUP(A5,saisie!B$5:W$44,14,0)</f>
        <v>RADREAU JULES</v>
      </c>
      <c r="O5" s="149">
        <f>VLOOKUP(A5,saisie!B$5:W$44,15,0)</f>
        <v>89.8</v>
      </c>
      <c r="P5" s="149">
        <f>VLOOKUP(A5,saisie!B$5:W$44,16,0)</f>
        <v>85.1</v>
      </c>
      <c r="Q5" s="150">
        <f t="shared" ref="Q5:Q44" si="2">SUM(O5:P5)</f>
        <v>174.89999999999998</v>
      </c>
      <c r="R5" s="87">
        <f>VLOOKUP(A5,saisie!B$5:W$44,18,0)</f>
        <v>0</v>
      </c>
      <c r="S5" s="151">
        <f t="shared" ref="S5:S44" si="3">SUM(G5+L5+Q5)</f>
        <v>482.19999999999993</v>
      </c>
      <c r="T5" s="88">
        <f>VLOOKUP(A5,saisie!B$5:W$44,20,0)</f>
        <v>0</v>
      </c>
    </row>
    <row r="6" spans="1:26" s="89" customFormat="1" ht="46.9" customHeight="1" x14ac:dyDescent="0.2">
      <c r="A6" s="85">
        <f>IF(INFO!B8&gt;1,2,"")</f>
        <v>2</v>
      </c>
      <c r="B6" s="139" t="str">
        <f>VLOOKUP(A6,saisie!B$5:W$44,2,0)</f>
        <v>TS CHATENOY 1</v>
      </c>
      <c r="C6" s="86">
        <f>VLOOKUP(A6,saisie!B$5:W$44,3,0)</f>
        <v>471185</v>
      </c>
      <c r="D6" s="83" t="str">
        <f>VLOOKUP(A6,saisie!B$5:W$44,4,0)</f>
        <v>BROQUIE CLEMENCE</v>
      </c>
      <c r="E6" s="149">
        <f>VLOOKUP(A6,saisie!B$5:W$44,5,0)</f>
        <v>74.3</v>
      </c>
      <c r="F6" s="149">
        <f>VLOOKUP(A6,saisie!B$5:W$44,6,0)</f>
        <v>69.3</v>
      </c>
      <c r="G6" s="150">
        <f t="shared" si="0"/>
        <v>143.6</v>
      </c>
      <c r="H6" s="87">
        <f>VLOOKUP(A6,saisie!B$5:W$44,8,0)</f>
        <v>0</v>
      </c>
      <c r="I6" s="83" t="str">
        <f>VLOOKUP(A6,saisie!B$5:W$44,9,0)</f>
        <v>GARNIER MARIUS</v>
      </c>
      <c r="J6" s="149">
        <f>VLOOKUP(A6,saisie!B$5:W$44,10,0)</f>
        <v>65.8</v>
      </c>
      <c r="K6" s="149">
        <f>VLOOKUP(A6,saisie!B$5:W$44,11,0)</f>
        <v>73.900000000000006</v>
      </c>
      <c r="L6" s="150">
        <f t="shared" si="1"/>
        <v>139.69999999999999</v>
      </c>
      <c r="M6" s="87">
        <f>VLOOKUP(A6,saisie!B$5:W$44,13,0)</f>
        <v>0</v>
      </c>
      <c r="N6" s="83" t="str">
        <f>VLOOKUP(A6,saisie!B$5:W$44,14,0)</f>
        <v>ANDRE JADE</v>
      </c>
      <c r="O6" s="149">
        <f>VLOOKUP(A6,saisie!B$5:W$44,15,0)</f>
        <v>84.6</v>
      </c>
      <c r="P6" s="149">
        <f>VLOOKUP(A6,saisie!B$5:W$44,16,0)</f>
        <v>85.2</v>
      </c>
      <c r="Q6" s="150">
        <f t="shared" si="2"/>
        <v>169.8</v>
      </c>
      <c r="R6" s="87">
        <f>VLOOKUP(A6,saisie!B$5:W$44,18,0)</f>
        <v>0</v>
      </c>
      <c r="S6" s="151">
        <f t="shared" si="3"/>
        <v>453.09999999999997</v>
      </c>
      <c r="T6" s="88">
        <f>VLOOKUP(A6,saisie!B$5:W$44,20,0)</f>
        <v>0</v>
      </c>
    </row>
    <row r="7" spans="1:26" s="89" customFormat="1" ht="46.9" customHeight="1" x14ac:dyDescent="0.2">
      <c r="A7" s="85">
        <f>IF(INFO!B8&gt;2,3,"")</f>
        <v>3</v>
      </c>
      <c r="B7" s="139" t="str">
        <f>VLOOKUP(A7,saisie!B$5:W$44,2,0)</f>
        <v>STEP CHALON 1</v>
      </c>
      <c r="C7" s="86">
        <f>VLOOKUP(A7,saisie!B$5:W$44,3,0)</f>
        <v>471126</v>
      </c>
      <c r="D7" s="83" t="str">
        <f>VLOOKUP(A7,saisie!B$5:W$44,4,0)</f>
        <v>SURGOT CELIA</v>
      </c>
      <c r="E7" s="149">
        <f>VLOOKUP(A7,saisie!B$5:W$44,5,0)</f>
        <v>84.5</v>
      </c>
      <c r="F7" s="149">
        <f>VLOOKUP(A7,saisie!B$5:W$44,6,0)</f>
        <v>84.5</v>
      </c>
      <c r="G7" s="150">
        <f t="shared" si="0"/>
        <v>169</v>
      </c>
      <c r="H7" s="87">
        <f>VLOOKUP(A7,saisie!B$5:W$44,8,0)</f>
        <v>0</v>
      </c>
      <c r="I7" s="83" t="str">
        <f>VLOOKUP(A7,saisie!B$5:W$44,9,0)</f>
        <v>DELHOMMELLE ETHAN</v>
      </c>
      <c r="J7" s="149">
        <f>VLOOKUP(A7,saisie!B$5:W$44,10,0)</f>
        <v>62.7</v>
      </c>
      <c r="K7" s="149">
        <f>VLOOKUP(A7,saisie!B$5:W$44,11,0)</f>
        <v>53.2</v>
      </c>
      <c r="L7" s="150">
        <f t="shared" si="1"/>
        <v>115.9</v>
      </c>
      <c r="M7" s="87">
        <f>VLOOKUP(A7,saisie!B$5:W$44,13,0)</f>
        <v>0</v>
      </c>
      <c r="N7" s="83" t="str">
        <f>VLOOKUP(A7,saisie!B$5:W$44,14,0)</f>
        <v>BERNARD ETHAN</v>
      </c>
      <c r="O7" s="149">
        <f>VLOOKUP(A7,saisie!B$5:W$44,15,0)</f>
        <v>65.2</v>
      </c>
      <c r="P7" s="149">
        <f>VLOOKUP(A7,saisie!B$5:W$44,16,0)</f>
        <v>52.9</v>
      </c>
      <c r="Q7" s="150">
        <f t="shared" si="2"/>
        <v>118.1</v>
      </c>
      <c r="R7" s="87">
        <f>VLOOKUP(A7,saisie!B$5:W$44,18,0)</f>
        <v>0</v>
      </c>
      <c r="S7" s="151">
        <f t="shared" si="3"/>
        <v>403</v>
      </c>
      <c r="T7" s="88">
        <f>VLOOKUP(A7,saisie!B$5:W$44,20,0)</f>
        <v>0</v>
      </c>
    </row>
    <row r="8" spans="1:26" s="89" customFormat="1" ht="46.9" customHeight="1" x14ac:dyDescent="0.2">
      <c r="A8" s="85">
        <f>IF(INFO!B8&gt;3,4,"")</f>
        <v>4</v>
      </c>
      <c r="B8" s="139" t="str">
        <f>VLOOKUP(A8,saisie!B$5:W$44,2,0)</f>
        <v>STEP CHALON 2</v>
      </c>
      <c r="C8" s="86">
        <f>VLOOKUP(A8,saisie!B$5:W$44,3,0)</f>
        <v>471126</v>
      </c>
      <c r="D8" s="83" t="str">
        <f>VLOOKUP(A8,saisie!B$5:W$44,4,0)</f>
        <v>BOREY QUENTIN</v>
      </c>
      <c r="E8" s="149">
        <f>VLOOKUP(A8,saisie!B$5:W$44,5,0)</f>
        <v>81</v>
      </c>
      <c r="F8" s="149">
        <f>VLOOKUP(A8,saisie!B$5:W$44,6,0)</f>
        <v>76.5</v>
      </c>
      <c r="G8" s="150">
        <f t="shared" si="0"/>
        <v>157.5</v>
      </c>
      <c r="H8" s="87">
        <f>VLOOKUP(A8,saisie!B$5:W$44,8,0)</f>
        <v>0</v>
      </c>
      <c r="I8" s="83" t="str">
        <f>VLOOKUP(A8,saisie!B$5:W$44,9,0)</f>
        <v>GERMAIN DAMIEN</v>
      </c>
      <c r="J8" s="149">
        <f>VLOOKUP(A8,saisie!B$5:W$44,10,0)</f>
        <v>49.9</v>
      </c>
      <c r="K8" s="149">
        <f>VLOOKUP(A8,saisie!B$5:W$44,11,0)</f>
        <v>56.5</v>
      </c>
      <c r="L8" s="150">
        <f t="shared" si="1"/>
        <v>106.4</v>
      </c>
      <c r="M8" s="87">
        <f>VLOOKUP(A8,saisie!B$5:W$44,13,0)</f>
        <v>0</v>
      </c>
      <c r="N8" s="83" t="str">
        <f>VLOOKUP(A8,saisie!B$5:W$44,14,0)</f>
        <v>PRECHEUR MAXIME</v>
      </c>
      <c r="O8" s="149">
        <f>VLOOKUP(A8,saisie!B$5:W$44,15,0)</f>
        <v>70.900000000000006</v>
      </c>
      <c r="P8" s="149">
        <f>VLOOKUP(A8,saisie!B$5:W$44,16,0)</f>
        <v>64</v>
      </c>
      <c r="Q8" s="150">
        <f t="shared" si="2"/>
        <v>134.9</v>
      </c>
      <c r="R8" s="87">
        <f>VLOOKUP(A8,saisie!B$5:W$44,18,0)</f>
        <v>0</v>
      </c>
      <c r="S8" s="151">
        <f t="shared" si="3"/>
        <v>398.79999999999995</v>
      </c>
      <c r="T8" s="88">
        <f>VLOOKUP(A8,saisie!B$5:W$44,20,0)</f>
        <v>0</v>
      </c>
    </row>
    <row r="9" spans="1:26" s="89" customFormat="1" ht="46.9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40.15" customHeight="1" x14ac:dyDescent="0.2">
      <c r="A1" s="17"/>
      <c r="B1" s="218" t="str">
        <f>CONCATENATE(INFO!B7,"    ",INFO!B9)</f>
        <v>CARABINE    BOURGOGNE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 x14ac:dyDescent="0.2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4.9000000000000004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15" customHeight="1" thickBot="1" x14ac:dyDescent="0.25">
      <c r="A4" s="32"/>
      <c r="B4" s="152" t="s">
        <v>1</v>
      </c>
      <c r="C4" s="220" t="str">
        <f>'M Q'!B5</f>
        <v>TS CHATENOY 2</v>
      </c>
      <c r="D4" s="221"/>
      <c r="E4" s="153">
        <f>'M Q'!S5</f>
        <v>482.19999999999993</v>
      </c>
      <c r="F4" s="154"/>
      <c r="G4" s="152" t="str">
        <f>IF(INFO!B8&gt;7,"8e MQ","")</f>
        <v/>
      </c>
      <c r="H4" s="220" t="str">
        <f>IF(INFO!B8&gt;7,'M Q'!B12,"")</f>
        <v/>
      </c>
      <c r="I4" s="221"/>
      <c r="J4" s="153" t="str">
        <f>IF(INFO!B8&gt;7,'M Q'!S12,"")</f>
        <v/>
      </c>
      <c r="K4" s="154"/>
      <c r="L4" s="152" t="s">
        <v>59</v>
      </c>
      <c r="M4" s="220" t="str">
        <f>IF(INFO!B8&gt;8,'M Q'!B13,"")</f>
        <v/>
      </c>
      <c r="N4" s="221"/>
      <c r="O4" s="153" t="str">
        <f>IF(INFO!B8&gt;8,'M Q'!S13,"")</f>
        <v/>
      </c>
      <c r="P4" s="155"/>
      <c r="Q4" s="152" t="s">
        <v>52</v>
      </c>
      <c r="R4" s="220" t="str">
        <f>IF(INFO!B8&gt;15,'M Q'!B20,"")</f>
        <v/>
      </c>
      <c r="S4" s="221"/>
      <c r="T4" s="153" t="str">
        <f>IF(INFO!B8&gt;15,'M Q'!S20,"")</f>
        <v/>
      </c>
      <c r="U4" s="32"/>
    </row>
    <row r="5" spans="1:22" s="33" customFormat="1" ht="25.1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15" customHeight="1" x14ac:dyDescent="0.2">
      <c r="A6" s="31"/>
      <c r="B6" s="159" t="str">
        <f>'M Q'!D5</f>
        <v>FAUTRELLE LUAN</v>
      </c>
      <c r="C6" s="160">
        <f>'M Q'!E5</f>
        <v>71.8</v>
      </c>
      <c r="D6" s="161">
        <f>'M Q'!F5</f>
        <v>72.599999999999994</v>
      </c>
      <c r="E6" s="159">
        <f>SUM(C6:D6)</f>
        <v>144.39999999999998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15" customHeight="1" x14ac:dyDescent="0.2">
      <c r="A7" s="31"/>
      <c r="B7" s="162" t="str">
        <f>'M Q'!I5</f>
        <v>BRANDAO GABIN</v>
      </c>
      <c r="C7" s="163">
        <f>'M Q'!J5</f>
        <v>80.599999999999994</v>
      </c>
      <c r="D7" s="164">
        <f>'M Q'!K5</f>
        <v>82.3</v>
      </c>
      <c r="E7" s="162">
        <f>SUM(C7:D7)</f>
        <v>162.89999999999998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15" customHeight="1" thickBot="1" x14ac:dyDescent="0.25">
      <c r="A8" s="31"/>
      <c r="B8" s="165" t="str">
        <f>'M Q'!N5</f>
        <v>RADREAU JULES</v>
      </c>
      <c r="C8" s="166">
        <f>'M Q'!O5</f>
        <v>89.8</v>
      </c>
      <c r="D8" s="167">
        <f>'M Q'!P5</f>
        <v>85.1</v>
      </c>
      <c r="E8" s="165">
        <f>SUM(C8:D8)</f>
        <v>174.89999999999998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1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15" customHeight="1" thickBot="1" x14ac:dyDescent="0.25">
      <c r="A10" s="34"/>
      <c r="B10" s="152" t="s">
        <v>2</v>
      </c>
      <c r="C10" s="220" t="str">
        <f>'M Q'!B6</f>
        <v>TS CHATENOY 1</v>
      </c>
      <c r="D10" s="221"/>
      <c r="E10" s="153">
        <f>'M Q'!S6</f>
        <v>453.09999999999997</v>
      </c>
      <c r="F10" s="154"/>
      <c r="G10" s="152" t="str">
        <f>IF(INFO!B8&gt;6,"7e MQ","")</f>
        <v/>
      </c>
      <c r="H10" s="220" t="str">
        <f>IF(INFO!B8&gt;6,'M Q'!B11,"")</f>
        <v/>
      </c>
      <c r="I10" s="221"/>
      <c r="J10" s="153" t="str">
        <f>IF(INFO!B8&gt;6,'M Q'!S11,"")</f>
        <v/>
      </c>
      <c r="K10" s="154"/>
      <c r="L10" s="152" t="s">
        <v>58</v>
      </c>
      <c r="M10" s="220" t="str">
        <f>IF(INFO!B8&gt;9,'M Q'!B14,"")</f>
        <v/>
      </c>
      <c r="N10" s="221"/>
      <c r="O10" s="153" t="str">
        <f>IF(INFO!B8&gt;9,'M Q'!S14,"")</f>
        <v/>
      </c>
      <c r="P10" s="155"/>
      <c r="Q10" s="152" t="s">
        <v>53</v>
      </c>
      <c r="R10" s="220" t="str">
        <f>IF(INFO!B8&gt;14,'M Q'!B19,"")</f>
        <v/>
      </c>
      <c r="S10" s="221"/>
      <c r="T10" s="153" t="str">
        <f>IF(INFO!B8&gt;14,'M Q'!S19,"")</f>
        <v/>
      </c>
      <c r="U10" s="32"/>
    </row>
    <row r="11" spans="1:22" s="33" customFormat="1" ht="25.1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15" customHeight="1" x14ac:dyDescent="0.2">
      <c r="A12" s="31"/>
      <c r="B12" s="159" t="str">
        <f>'M Q'!D6</f>
        <v>BROQUIE CLEMENCE</v>
      </c>
      <c r="C12" s="160">
        <f>'M Q'!E6</f>
        <v>74.3</v>
      </c>
      <c r="D12" s="161">
        <f>'M Q'!F6</f>
        <v>69.3</v>
      </c>
      <c r="E12" s="159">
        <f>SUM(C12:D12)</f>
        <v>143.6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15" customHeight="1" x14ac:dyDescent="0.2">
      <c r="A13" s="31"/>
      <c r="B13" s="162" t="str">
        <f>'M Q'!I6</f>
        <v>GARNIER MARIUS</v>
      </c>
      <c r="C13" s="163">
        <f>'M Q'!J6</f>
        <v>65.8</v>
      </c>
      <c r="D13" s="164">
        <f>'M Q'!K6</f>
        <v>73.900000000000006</v>
      </c>
      <c r="E13" s="162">
        <f>SUM(C13:D13)</f>
        <v>139.69999999999999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15" customHeight="1" thickBot="1" x14ac:dyDescent="0.25">
      <c r="A14" s="31"/>
      <c r="B14" s="165" t="str">
        <f>'M Q'!N6</f>
        <v>ANDRE JADE</v>
      </c>
      <c r="C14" s="166">
        <f>'M Q'!O6</f>
        <v>84.6</v>
      </c>
      <c r="D14" s="167">
        <f>'M Q'!P6</f>
        <v>85.2</v>
      </c>
      <c r="E14" s="165">
        <f>SUM(C14:D14)</f>
        <v>169.8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1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15" customHeight="1" thickBot="1" x14ac:dyDescent="0.25">
      <c r="A16" s="34"/>
      <c r="B16" s="152" t="str">
        <f>IF(INFO!B8&gt;2,"3e MQ","")</f>
        <v>3e MQ</v>
      </c>
      <c r="C16" s="220" t="str">
        <f>IF(INFO!B8&gt;2,'M Q'!B7,"")</f>
        <v>STEP CHALON 1</v>
      </c>
      <c r="D16" s="221"/>
      <c r="E16" s="153">
        <f>IF(INFO!B8&gt;2,'M Q'!S7,"")</f>
        <v>403</v>
      </c>
      <c r="F16" s="154"/>
      <c r="G16" s="152" t="str">
        <f>IF(INFO!B8&gt;5,"6e MQ","")</f>
        <v/>
      </c>
      <c r="H16" s="220" t="str">
        <f>IF(INFO!B8&gt;5,'M Q'!B10,"")</f>
        <v/>
      </c>
      <c r="I16" s="221"/>
      <c r="J16" s="153" t="str">
        <f>IF(INFO!B8&gt;5,'M Q'!S10,"")</f>
        <v/>
      </c>
      <c r="K16" s="154"/>
      <c r="L16" s="152" t="s">
        <v>57</v>
      </c>
      <c r="M16" s="220" t="str">
        <f>IF(INFO!B8&gt;10,'M Q'!B15,"")</f>
        <v/>
      </c>
      <c r="N16" s="221"/>
      <c r="O16" s="153" t="str">
        <f>IF(INFO!B8&gt;10,'M Q'!S15,"")</f>
        <v/>
      </c>
      <c r="P16" s="155"/>
      <c r="Q16" s="152" t="s">
        <v>54</v>
      </c>
      <c r="R16" s="220" t="str">
        <f>IF(INFO!B8&gt;13,'M Q'!B18,"")</f>
        <v/>
      </c>
      <c r="S16" s="221"/>
      <c r="T16" s="153" t="str">
        <f>IF(INFO!B8&gt;13,'M Q'!S18,"")</f>
        <v/>
      </c>
      <c r="U16" s="32"/>
    </row>
    <row r="17" spans="1:21" s="33" customFormat="1" ht="25.1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15" customHeight="1" x14ac:dyDescent="0.2">
      <c r="A18" s="31"/>
      <c r="B18" s="159" t="str">
        <f>IF(INFO!B8&gt;2,'M Q'!D7,"")</f>
        <v>SURGOT CELIA</v>
      </c>
      <c r="C18" s="160">
        <f>IF(INFO!B8&gt;2,'M Q'!E7,"")</f>
        <v>84.5</v>
      </c>
      <c r="D18" s="161">
        <f>IF(INFO!B8&gt;2,'M Q'!F7,"")</f>
        <v>84.5</v>
      </c>
      <c r="E18" s="159">
        <f>IF(INFO!B8&gt;2,SUM(C18:D18),"")</f>
        <v>169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15" customHeight="1" x14ac:dyDescent="0.2">
      <c r="A19" s="31"/>
      <c r="B19" s="162" t="str">
        <f>IF(INFO!B8&gt;2,'M Q'!I7,"")</f>
        <v>DELHOMMELLE ETHAN</v>
      </c>
      <c r="C19" s="163">
        <f>IF(INFO!B8&gt;2,'M Q'!J7,"")</f>
        <v>62.7</v>
      </c>
      <c r="D19" s="164">
        <f>IF(INFO!B8&gt;2,'M Q'!K7,"")</f>
        <v>53.2</v>
      </c>
      <c r="E19" s="162">
        <f>IF(INFO!B8&gt;2,SUM(C19:D19),"")</f>
        <v>115.9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15" customHeight="1" thickBot="1" x14ac:dyDescent="0.25">
      <c r="A20" s="31"/>
      <c r="B20" s="165" t="str">
        <f>IF(INFO!B8&gt;2,'M Q'!N7,"")</f>
        <v>BERNARD ETHAN</v>
      </c>
      <c r="C20" s="166">
        <f>IF(INFO!B8&gt;2,'M Q'!O7,"")</f>
        <v>65.2</v>
      </c>
      <c r="D20" s="167">
        <f>IF(INFO!B8&gt;2,'M Q'!P7,"")</f>
        <v>52.9</v>
      </c>
      <c r="E20" s="165">
        <f>IF(INFO!B8&gt;2,SUM(C20:D20),"")</f>
        <v>118.1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1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15" customHeight="1" thickBot="1" x14ac:dyDescent="0.25">
      <c r="A22" s="34"/>
      <c r="B22" s="152" t="str">
        <f>IF(INFO!B8&gt;3,"4e MQ","")</f>
        <v>4e MQ</v>
      </c>
      <c r="C22" s="220" t="str">
        <f>IF(INFO!B8&gt;3,'M Q'!B8,"")</f>
        <v>STEP CHALON 2</v>
      </c>
      <c r="D22" s="221"/>
      <c r="E22" s="153">
        <f>IF(INFO!B8&gt;3,'M Q'!S8,"")</f>
        <v>398.79999999999995</v>
      </c>
      <c r="F22" s="154"/>
      <c r="G22" s="152" t="str">
        <f>IF(INFO!B8&gt;4,"5e MQ","")</f>
        <v/>
      </c>
      <c r="H22" s="220" t="str">
        <f>IF(INFO!B8&gt;4,'M Q'!B9,"")</f>
        <v/>
      </c>
      <c r="I22" s="221"/>
      <c r="J22" s="153" t="str">
        <f>IF(INFO!B8&gt;4,'M Q'!S9,"")</f>
        <v/>
      </c>
      <c r="K22" s="154"/>
      <c r="L22" s="152" t="s">
        <v>56</v>
      </c>
      <c r="M22" s="220" t="str">
        <f>IF(INFO!B8&gt;11,'M Q'!B16,"")</f>
        <v/>
      </c>
      <c r="N22" s="221"/>
      <c r="O22" s="153" t="str">
        <f>IF(INFO!B8&gt;11,'M Q'!S16,"")</f>
        <v/>
      </c>
      <c r="P22" s="155"/>
      <c r="Q22" s="152" t="s">
        <v>55</v>
      </c>
      <c r="R22" s="220" t="str">
        <f>IF(INFO!B8&gt;12,'M Q'!B17,"")</f>
        <v/>
      </c>
      <c r="S22" s="221"/>
      <c r="T22" s="153" t="str">
        <f>IF(INFO!B8&gt;12,'M Q'!S17,"")</f>
        <v/>
      </c>
      <c r="U22" s="32"/>
    </row>
    <row r="23" spans="1:21" s="33" customFormat="1" ht="25.1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15" customHeight="1" x14ac:dyDescent="0.2">
      <c r="A24" s="31"/>
      <c r="B24" s="159" t="str">
        <f>IF(INFO!B8&gt;3,'M Q'!D8,"")</f>
        <v>BOREY QUENTIN</v>
      </c>
      <c r="C24" s="160">
        <f>IF(INFO!B8&gt;3,'M Q'!E8,"")</f>
        <v>81</v>
      </c>
      <c r="D24" s="161">
        <f>IF(INFO!B8&gt;3,'M Q'!F8,"")</f>
        <v>76.5</v>
      </c>
      <c r="E24" s="159">
        <f>IF(INFO!B8&gt;3,SUM(C24:D24),"")</f>
        <v>157.5</v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15" customHeight="1" x14ac:dyDescent="0.2">
      <c r="A25" s="31"/>
      <c r="B25" s="162" t="str">
        <f>IF(INFO!B8&gt;3,'M Q'!I8,"")</f>
        <v>GERMAIN DAMIEN</v>
      </c>
      <c r="C25" s="163">
        <f>IF(INFO!B8&gt;3,'M Q'!J8,"")</f>
        <v>49.9</v>
      </c>
      <c r="D25" s="164">
        <f>IF(INFO!B8&gt;3,'M Q'!K8,"")</f>
        <v>56.5</v>
      </c>
      <c r="E25" s="162">
        <f>IF(INFO!B8&gt;3,SUM(C25:D25),"")</f>
        <v>106.4</v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15" customHeight="1" thickBot="1" x14ac:dyDescent="0.25">
      <c r="A26" s="31"/>
      <c r="B26" s="165" t="str">
        <f>IF(INFO!B8&gt;3,'M Q'!N8,"")</f>
        <v>PRECHEUR MAXIME</v>
      </c>
      <c r="C26" s="166">
        <f>IF(INFO!B8&gt;3,'M Q'!O8,"")</f>
        <v>70.900000000000006</v>
      </c>
      <c r="D26" s="167">
        <f>IF(INFO!B8&gt;3,'M Q'!P8,"")</f>
        <v>64</v>
      </c>
      <c r="E26" s="165">
        <f>IF(INFO!B8&gt;3,SUM(C26:D26),"")</f>
        <v>134.9</v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899999999999999" customHeight="1" x14ac:dyDescent="0.2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5" activePane="bottomLeft" state="frozenSplit"/>
      <selection sqref="A1:C1"/>
      <selection pane="bottomLeft" activeCell="E5" sqref="E5"/>
    </sheetView>
  </sheetViews>
  <sheetFormatPr baseColWidth="10" defaultColWidth="8.125" defaultRowHeight="28.1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49.9" customHeight="1" x14ac:dyDescent="0.2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 x14ac:dyDescent="0.25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8.15" customHeight="1" outlineLevel="1" thickBot="1" x14ac:dyDescent="0.25">
      <c r="B4" s="240" t="str">
        <f>'Clb Q'!C4</f>
        <v>TS CHATENOY 2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2.15" customHeight="1" outlineLevel="2" x14ac:dyDescent="0.2">
      <c r="B5" s="237" t="str">
        <f>'Clb Q'!B6</f>
        <v>FAUTRELLE LUAN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2.15" customHeight="1" outlineLevel="2" x14ac:dyDescent="0.2">
      <c r="B6" s="237" t="str">
        <f>'Clb Q'!B7</f>
        <v>BRANDAO GABIN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2.15" customHeight="1" outlineLevel="2" thickBot="1" x14ac:dyDescent="0.25">
      <c r="B7" s="237" t="str">
        <f>'Clb Q'!B8</f>
        <v>RADREAU JULES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2.15" customHeight="1" outlineLevel="1" x14ac:dyDescent="0.2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2.15" customHeight="1" outlineLevel="1" x14ac:dyDescent="0.2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2.15" customHeight="1" outlineLevel="1" x14ac:dyDescent="0.2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2.15" customHeight="1" outlineLevel="1" x14ac:dyDescent="0.2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2.15" customHeight="1" outlineLevel="1" thickBot="1" x14ac:dyDescent="0.25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6.149999999999999" customHeight="1" outlineLevel="1" thickBot="1" x14ac:dyDescent="0.25">
      <c r="J13" s="28"/>
      <c r="K13" s="28"/>
      <c r="U13" s="30"/>
    </row>
    <row r="14" spans="1:22" s="38" customFormat="1" ht="28.15" customHeight="1" outlineLevel="1" thickBot="1" x14ac:dyDescent="0.25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>STEP CHALON 2</v>
      </c>
      <c r="R14" s="241"/>
      <c r="S14" s="242"/>
      <c r="U14" s="42"/>
    </row>
    <row r="15" spans="1:22" s="36" customFormat="1" ht="22.15" customHeight="1" outlineLevel="2" x14ac:dyDescent="0.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>BOREY QUENTIN</v>
      </c>
      <c r="R15" s="238"/>
      <c r="S15" s="239"/>
      <c r="U15" s="43"/>
    </row>
    <row r="16" spans="1:22" s="36" customFormat="1" ht="22.15" customHeight="1" outlineLevel="2" x14ac:dyDescent="0.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>GERMAIN DAMIEN</v>
      </c>
      <c r="R16" s="238"/>
      <c r="S16" s="239"/>
      <c r="U16" s="43"/>
    </row>
    <row r="17" spans="1:21" s="36" customFormat="1" ht="22.15" customHeight="1" outlineLevel="2" thickBot="1" x14ac:dyDescent="0.25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>PRECHEUR MAXIME</v>
      </c>
      <c r="R17" s="238"/>
      <c r="S17" s="239"/>
      <c r="U17" s="43"/>
    </row>
    <row r="18" spans="1:21" ht="22.15" customHeight="1" outlineLevel="1" x14ac:dyDescent="0.2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2.15" customHeight="1" outlineLevel="1" x14ac:dyDescent="0.2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2.15" customHeight="1" outlineLevel="1" x14ac:dyDescent="0.2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2.15" customHeight="1" outlineLevel="1" x14ac:dyDescent="0.2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2.15" customHeight="1" outlineLevel="1" thickBot="1" x14ac:dyDescent="0.25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8.15" customHeight="1" outlineLevel="1" thickBot="1" x14ac:dyDescent="0.25">
      <c r="B25" s="240" t="str">
        <f>'Clb Q'!C16</f>
        <v>STEP CHALON 1</v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2.15" customHeight="1" outlineLevel="2" x14ac:dyDescent="0.2">
      <c r="B26" s="237" t="str">
        <f>'Clb Q'!B18</f>
        <v>SURGOT CELIA</v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2.15" customHeight="1" outlineLevel="2" x14ac:dyDescent="0.2">
      <c r="B27" s="237" t="str">
        <f>'Clb Q'!B19</f>
        <v>DELHOMMELLE ETHAN</v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2.15" customHeight="1" outlineLevel="2" thickBot="1" x14ac:dyDescent="0.25">
      <c r="B28" s="237" t="str">
        <f>'Clb Q'!B20</f>
        <v>BERNARD ETHAN</v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2.15" customHeight="1" outlineLevel="1" x14ac:dyDescent="0.2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2.15" customHeight="1" outlineLevel="1" x14ac:dyDescent="0.2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2.15" customHeight="1" outlineLevel="1" x14ac:dyDescent="0.2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2.15" customHeight="1" outlineLevel="1" x14ac:dyDescent="0.2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2.15" customHeight="1" outlineLevel="1" thickBot="1" x14ac:dyDescent="0.25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15" customHeight="1" outlineLevel="1" thickBot="1" x14ac:dyDescent="0.25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TS CHATENOY 1</v>
      </c>
      <c r="R36" s="241"/>
      <c r="S36" s="242"/>
      <c r="U36" s="42"/>
    </row>
    <row r="37" spans="1:21" s="36" customFormat="1" ht="22.15" customHeight="1" outlineLevel="2" x14ac:dyDescent="0.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BROQUIE CLEMENCE</v>
      </c>
      <c r="R37" s="238"/>
      <c r="S37" s="239"/>
      <c r="U37" s="43"/>
    </row>
    <row r="38" spans="1:21" s="36" customFormat="1" ht="22.15" customHeight="1" outlineLevel="2" x14ac:dyDescent="0.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GARNIER MARIUS</v>
      </c>
      <c r="R38" s="238"/>
      <c r="S38" s="239"/>
      <c r="U38" s="43"/>
    </row>
    <row r="39" spans="1:21" s="36" customFormat="1" ht="22.15" customHeight="1" outlineLevel="2" thickBot="1" x14ac:dyDescent="0.25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ANDRE JADE</v>
      </c>
      <c r="R39" s="238"/>
      <c r="S39" s="239"/>
      <c r="U39" s="43"/>
    </row>
    <row r="40" spans="1:21" ht="22.15" customHeight="1" outlineLevel="1" x14ac:dyDescent="0.2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2.15" customHeight="1" outlineLevel="1" x14ac:dyDescent="0.2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2.15" customHeight="1" outlineLevel="1" x14ac:dyDescent="0.2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2.15" customHeight="1" outlineLevel="1" x14ac:dyDescent="0.2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2.15" customHeight="1" outlineLevel="1" thickBot="1" x14ac:dyDescent="0.25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 x14ac:dyDescent="0.25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8.15" customHeight="1" thickBot="1" x14ac:dyDescent="0.25">
      <c r="B46" s="265" t="str">
        <f>IF(G4="",B4,IF(B8="","",IF(B8&gt;2,B4,IF(H8&gt;2,G4,""))))</f>
        <v>TS CHATENOY 2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>STEP CHALON 1</v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2.15" customHeight="1" outlineLevel="1" x14ac:dyDescent="0.2">
      <c r="B47" s="232" t="str">
        <f>IF(G4="",B5,IF(B8="","",IF(B8&gt;2,B5,IF(H8&gt;2,G5,""))))</f>
        <v>FAUTRELLE LUAN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>SURGOT CELIA</v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2.15" customHeight="1" outlineLevel="1" x14ac:dyDescent="0.2">
      <c r="B48" s="232" t="str">
        <f>IF(G4="",B6,IF(B8="","",IF(B8&gt;2,B6,IF(H8&gt;2,G6,""))))</f>
        <v>BRANDAO GABIN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>DELHOMMELLE ETHAN</v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2.15" customHeight="1" outlineLevel="1" thickBot="1" x14ac:dyDescent="0.25">
      <c r="B49" s="232" t="str">
        <f>IF(G4="",B7,IF(B8="","",IF(B8&gt;2,B7,IF(H8&gt;2,G7,""))))</f>
        <v>RADREAU JULES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>BERNARD ETHAN</v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2.15" customHeight="1" x14ac:dyDescent="0.2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2.15" customHeight="1" x14ac:dyDescent="0.2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2.15" customHeight="1" x14ac:dyDescent="0.2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2.15" customHeight="1" x14ac:dyDescent="0.2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2.15" customHeight="1" thickBot="1" x14ac:dyDescent="0.25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15" customHeight="1" thickBot="1" x14ac:dyDescent="0.25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>STEP CHALON 2</v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TS CHATENOY 1</v>
      </c>
      <c r="R56" s="266"/>
      <c r="S56" s="267"/>
      <c r="U56" s="42"/>
    </row>
    <row r="57" spans="1:21" s="36" customFormat="1" ht="22.15" customHeight="1" outlineLevel="1" x14ac:dyDescent="0.2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>BOREY QUENTIN</v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BROQUIE CLEMENCE</v>
      </c>
      <c r="R57" s="233"/>
      <c r="S57" s="234"/>
      <c r="U57" s="43"/>
    </row>
    <row r="58" spans="1:21" s="36" customFormat="1" ht="22.15" customHeight="1" outlineLevel="1" x14ac:dyDescent="0.2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>GERMAIN DAMIEN</v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GARNIER MARIUS</v>
      </c>
      <c r="R58" s="233"/>
      <c r="S58" s="234"/>
      <c r="U58" s="43"/>
    </row>
    <row r="59" spans="1:21" s="36" customFormat="1" ht="22.15" customHeight="1" outlineLevel="1" thickBot="1" x14ac:dyDescent="0.25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>PRECHEUR MAXIME</v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ANDRE JADE</v>
      </c>
      <c r="R59" s="233"/>
      <c r="S59" s="234"/>
      <c r="U59" s="43"/>
    </row>
    <row r="60" spans="1:21" ht="22.15" customHeight="1" x14ac:dyDescent="0.2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2.15" customHeight="1" x14ac:dyDescent="0.2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2.15" customHeight="1" x14ac:dyDescent="0.2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2.15" customHeight="1" x14ac:dyDescent="0.2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2.15" customHeight="1" thickBot="1" x14ac:dyDescent="0.25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50.15" hidden="1" customHeight="1" outlineLevel="1" x14ac:dyDescent="0.2">
      <c r="J65" s="30"/>
    </row>
    <row r="66" spans="1:21" ht="60" customHeight="1" collapsed="1" thickBot="1" x14ac:dyDescent="0.25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8.15" customHeight="1" thickBot="1" x14ac:dyDescent="0.25">
      <c r="B67" s="246" t="str">
        <f>IF(G46="",B46,IF(B50="","",IF(H50="","",IF(B50&gt;2,B46,IF(H50&gt;2,G46,"")))))</f>
        <v>TS CHATENOY 2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>STEP CHALON 2</v>
      </c>
      <c r="H67" s="247"/>
      <c r="I67" s="248"/>
      <c r="J67" s="40"/>
      <c r="K67" s="39"/>
      <c r="L67" s="246" t="str">
        <f>IF(Q46="",L46,IF(L50="","",IF(R50="","",IF(L50&gt;2,L46,IF(R50&gt;2,Q46,"")))))</f>
        <v>STEP CHALON 1</v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TS CHATENOY 1</v>
      </c>
      <c r="R67" s="247"/>
      <c r="S67" s="248"/>
    </row>
    <row r="68" spans="1:21" s="36" customFormat="1" ht="22.15" customHeight="1" outlineLevel="1" x14ac:dyDescent="0.2">
      <c r="B68" s="243" t="str">
        <f>IF(G46="",B47,IF(B50="","",IF(H50="","",IF(B50&gt;2,B47,IF(H50&gt;2,G47,"")))))</f>
        <v>FAUTRELLE LUAN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>BOREY QUENTIN</v>
      </c>
      <c r="H68" s="244"/>
      <c r="I68" s="245"/>
      <c r="J68" s="37"/>
      <c r="K68" s="35"/>
      <c r="L68" s="243" t="str">
        <f>IF(Q46="",L47,IF(L50="","",IF(R50="","",IF(L50&gt;2,L47,IF(R50&gt;2,Q47,"")))))</f>
        <v>SURGOT CELIA</v>
      </c>
      <c r="M68" s="244"/>
      <c r="N68" s="245"/>
      <c r="O68" s="132">
        <v>13</v>
      </c>
      <c r="P68" s="133">
        <v>14</v>
      </c>
      <c r="Q68" s="243" t="str">
        <f>IF(L56="",Q57,IF(L60="","",IF(R60="","",IF(L60&gt;2,L57,IF(R60&gt;2,Q57,"")))))</f>
        <v>BROQUIE CLEMENCE</v>
      </c>
      <c r="R68" s="244"/>
      <c r="S68" s="245"/>
    </row>
    <row r="69" spans="1:21" s="36" customFormat="1" ht="22.15" customHeight="1" outlineLevel="1" x14ac:dyDescent="0.2">
      <c r="B69" s="243" t="str">
        <f>IF(G46="",B48,IF(B50="","",IF(H50="","",IF(B50&gt;2,B48,IF(H50&gt;2,G48,"")))))</f>
        <v>BRANDAO GABIN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>GERMAIN DAMIEN</v>
      </c>
      <c r="H69" s="244"/>
      <c r="I69" s="245"/>
      <c r="J69" s="37"/>
      <c r="K69" s="35"/>
      <c r="L69" s="243" t="str">
        <f>IF(Q46="",L48,IF(L50="","",IF(R50="","",IF(L50&gt;2,L48,IF(R50&gt;2,Q48,"")))))</f>
        <v>DELHOMMELLE ETHAN</v>
      </c>
      <c r="M69" s="244"/>
      <c r="N69" s="245"/>
      <c r="O69" s="132">
        <v>15</v>
      </c>
      <c r="P69" s="133">
        <v>16</v>
      </c>
      <c r="Q69" s="243" t="str">
        <f>IF(L56="",Q58,IF(L60="","",IF(R60="","",IF(L60&gt;2,L58,IF(R60&gt;2,Q58,"")))))</f>
        <v>GARNIER MARIUS</v>
      </c>
      <c r="R69" s="244"/>
      <c r="S69" s="245"/>
    </row>
    <row r="70" spans="1:21" s="36" customFormat="1" ht="22.15" customHeight="1" outlineLevel="1" thickBot="1" x14ac:dyDescent="0.25">
      <c r="B70" s="243" t="str">
        <f>IF(G46="",B49,IF(B50="","",IF(H50="","",IF(B50&gt;2,B49,IF(H50&gt;2,G49,"")))))</f>
        <v>RADREAU JULES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>PRECHEUR MAXIME</v>
      </c>
      <c r="H70" s="244"/>
      <c r="I70" s="245"/>
      <c r="J70" s="37"/>
      <c r="K70" s="35"/>
      <c r="L70" s="243" t="str">
        <f>IF(Q46="",L49,IF(L50="","",IF(R50="","",IF(L50&gt;2,L49,IF(R50&gt;2,Q49,"")))))</f>
        <v>BERNARD ETHAN</v>
      </c>
      <c r="M70" s="244"/>
      <c r="N70" s="245"/>
      <c r="O70" s="132">
        <v>17</v>
      </c>
      <c r="P70" s="133">
        <v>18</v>
      </c>
      <c r="Q70" s="243" t="str">
        <f>IF(L56="",Q59,IF(L60="","",IF(R60="","",IF(L60&gt;2,L59,IF(R60&gt;2,Q59,"")))))</f>
        <v>ANDRE JADE</v>
      </c>
      <c r="R70" s="244"/>
      <c r="S70" s="245"/>
    </row>
    <row r="71" spans="1:21" ht="22.15" customHeight="1" x14ac:dyDescent="0.2">
      <c r="A71" s="29">
        <f>IF(D71="","",IF(D71&gt;1,1,0))</f>
        <v>1</v>
      </c>
      <c r="B71" s="226">
        <f>IF(D71="","",SUM(A71:A77))</f>
        <v>5</v>
      </c>
      <c r="C71" s="235"/>
      <c r="D71" s="78">
        <v>3</v>
      </c>
      <c r="E71" s="257"/>
      <c r="F71" s="258"/>
      <c r="G71" s="78">
        <v>0</v>
      </c>
      <c r="H71" s="225">
        <f>IF(G71="","",SUM(J71:J77))</f>
        <v>2</v>
      </c>
      <c r="I71" s="226"/>
      <c r="J71" s="41">
        <f>IF(G71="","",IF(G71&gt;1,1,0))</f>
        <v>0</v>
      </c>
      <c r="K71" s="44">
        <f>IF(N71="","",IF(N71&gt;1,1,0))</f>
        <v>0</v>
      </c>
      <c r="L71" s="226">
        <f>IF(N71="","",SUM(K71:K77))</f>
        <v>3</v>
      </c>
      <c r="M71" s="235"/>
      <c r="N71" s="78">
        <v>1</v>
      </c>
      <c r="O71" s="257"/>
      <c r="P71" s="258"/>
      <c r="Q71" s="78">
        <v>2</v>
      </c>
      <c r="R71" s="225">
        <f>IF(Q71="","",SUM(T71:T77))</f>
        <v>4</v>
      </c>
      <c r="S71" s="226"/>
      <c r="T71" s="41">
        <f>IF(Q71="","",IF(Q71&gt;1,1,0))</f>
        <v>1</v>
      </c>
      <c r="U71" s="30"/>
    </row>
    <row r="72" spans="1:21" ht="22.15" customHeight="1" x14ac:dyDescent="0.2">
      <c r="A72" s="29">
        <f t="shared" ref="A72:A77" si="0">IF(D72="","",IF(D72&gt;1,1,0))</f>
        <v>0</v>
      </c>
      <c r="B72" s="228"/>
      <c r="C72" s="236"/>
      <c r="D72" s="79">
        <v>1</v>
      </c>
      <c r="E72" s="223"/>
      <c r="F72" s="224"/>
      <c r="G72" s="79">
        <v>2</v>
      </c>
      <c r="H72" s="227"/>
      <c r="I72" s="228"/>
      <c r="J72" s="41">
        <f t="shared" ref="J72:J77" si="1">IF(G72="","",IF(G72&gt;1,1,0))</f>
        <v>1</v>
      </c>
      <c r="K72" s="44">
        <f t="shared" ref="K72:K77" si="2">IF(N72="","",IF(N72&gt;1,1,0))</f>
        <v>0</v>
      </c>
      <c r="L72" s="228"/>
      <c r="M72" s="236"/>
      <c r="N72" s="79">
        <v>1</v>
      </c>
      <c r="O72" s="223"/>
      <c r="P72" s="224"/>
      <c r="Q72" s="79">
        <v>2</v>
      </c>
      <c r="R72" s="227"/>
      <c r="S72" s="228"/>
      <c r="T72" s="41">
        <f t="shared" ref="T72:T77" si="3">IF(Q72="","",IF(Q72&gt;1,1,0))</f>
        <v>1</v>
      </c>
      <c r="U72" s="30"/>
    </row>
    <row r="73" spans="1:21" ht="22.15" customHeight="1" x14ac:dyDescent="0.2">
      <c r="A73" s="29">
        <f t="shared" si="0"/>
        <v>1</v>
      </c>
      <c r="B73" s="228"/>
      <c r="C73" s="236"/>
      <c r="D73" s="79">
        <v>3</v>
      </c>
      <c r="E73" s="223"/>
      <c r="F73" s="224"/>
      <c r="G73" s="79">
        <v>0</v>
      </c>
      <c r="H73" s="227"/>
      <c r="I73" s="228"/>
      <c r="J73" s="41">
        <f t="shared" si="1"/>
        <v>0</v>
      </c>
      <c r="K73" s="44">
        <f t="shared" si="2"/>
        <v>1</v>
      </c>
      <c r="L73" s="228"/>
      <c r="M73" s="236"/>
      <c r="N73" s="79">
        <v>2</v>
      </c>
      <c r="O73" s="223"/>
      <c r="P73" s="224"/>
      <c r="Q73" s="79">
        <v>1</v>
      </c>
      <c r="R73" s="227"/>
      <c r="S73" s="228"/>
      <c r="T73" s="41">
        <f t="shared" si="3"/>
        <v>0</v>
      </c>
      <c r="U73" s="30"/>
    </row>
    <row r="74" spans="1:21" ht="22.15" customHeight="1" x14ac:dyDescent="0.2">
      <c r="A74" s="29">
        <f t="shared" si="0"/>
        <v>0</v>
      </c>
      <c r="B74" s="228"/>
      <c r="C74" s="236"/>
      <c r="D74" s="79">
        <v>1</v>
      </c>
      <c r="E74" s="223"/>
      <c r="F74" s="224"/>
      <c r="G74" s="79">
        <v>2</v>
      </c>
      <c r="H74" s="227"/>
      <c r="I74" s="228"/>
      <c r="J74" s="41">
        <f t="shared" si="1"/>
        <v>1</v>
      </c>
      <c r="K74" s="44">
        <f t="shared" si="2"/>
        <v>1</v>
      </c>
      <c r="L74" s="228"/>
      <c r="M74" s="236"/>
      <c r="N74" s="79">
        <v>2</v>
      </c>
      <c r="O74" s="223"/>
      <c r="P74" s="224"/>
      <c r="Q74" s="79">
        <v>1</v>
      </c>
      <c r="R74" s="227"/>
      <c r="S74" s="228"/>
      <c r="T74" s="41">
        <f t="shared" si="3"/>
        <v>0</v>
      </c>
      <c r="U74" s="30"/>
    </row>
    <row r="75" spans="1:21" ht="22.15" customHeight="1" x14ac:dyDescent="0.2">
      <c r="A75" s="29">
        <f t="shared" si="0"/>
        <v>1</v>
      </c>
      <c r="B75" s="228"/>
      <c r="C75" s="236"/>
      <c r="D75" s="79">
        <v>3</v>
      </c>
      <c r="E75" s="223"/>
      <c r="F75" s="224"/>
      <c r="G75" s="79">
        <v>0</v>
      </c>
      <c r="H75" s="227"/>
      <c r="I75" s="228"/>
      <c r="J75" s="41">
        <f t="shared" si="1"/>
        <v>0</v>
      </c>
      <c r="K75" s="44">
        <f t="shared" si="2"/>
        <v>1</v>
      </c>
      <c r="L75" s="228"/>
      <c r="M75" s="236"/>
      <c r="N75" s="79">
        <v>2</v>
      </c>
      <c r="O75" s="223"/>
      <c r="P75" s="224"/>
      <c r="Q75" s="79">
        <v>1</v>
      </c>
      <c r="R75" s="227"/>
      <c r="S75" s="228"/>
      <c r="T75" s="41">
        <f t="shared" si="3"/>
        <v>0</v>
      </c>
      <c r="U75" s="30"/>
    </row>
    <row r="76" spans="1:21" ht="22.15" customHeight="1" x14ac:dyDescent="0.2">
      <c r="A76" s="29">
        <f t="shared" si="0"/>
        <v>1</v>
      </c>
      <c r="B76" s="228"/>
      <c r="C76" s="236"/>
      <c r="D76" s="79">
        <v>2</v>
      </c>
      <c r="E76" s="223"/>
      <c r="F76" s="224"/>
      <c r="G76" s="79">
        <v>1</v>
      </c>
      <c r="H76" s="227"/>
      <c r="I76" s="228"/>
      <c r="J76" s="41">
        <f t="shared" si="1"/>
        <v>0</v>
      </c>
      <c r="K76" s="44">
        <f t="shared" si="2"/>
        <v>0</v>
      </c>
      <c r="L76" s="228"/>
      <c r="M76" s="236"/>
      <c r="N76" s="79">
        <v>1</v>
      </c>
      <c r="O76" s="223"/>
      <c r="P76" s="224"/>
      <c r="Q76" s="79">
        <v>2</v>
      </c>
      <c r="R76" s="227"/>
      <c r="S76" s="228"/>
      <c r="T76" s="41">
        <f t="shared" si="3"/>
        <v>1</v>
      </c>
      <c r="U76" s="30"/>
    </row>
    <row r="77" spans="1:21" ht="22.15" customHeight="1" thickBot="1" x14ac:dyDescent="0.25">
      <c r="A77" s="29">
        <f t="shared" si="0"/>
        <v>1</v>
      </c>
      <c r="B77" s="228"/>
      <c r="C77" s="236"/>
      <c r="D77" s="80">
        <v>3</v>
      </c>
      <c r="E77" s="223"/>
      <c r="F77" s="224"/>
      <c r="G77" s="80">
        <v>0</v>
      </c>
      <c r="H77" s="227"/>
      <c r="I77" s="228"/>
      <c r="J77" s="41">
        <f t="shared" si="1"/>
        <v>0</v>
      </c>
      <c r="K77" s="44">
        <f t="shared" si="2"/>
        <v>0</v>
      </c>
      <c r="L77" s="228"/>
      <c r="M77" s="236"/>
      <c r="N77" s="80">
        <v>1</v>
      </c>
      <c r="O77" s="223"/>
      <c r="P77" s="224"/>
      <c r="Q77" s="80">
        <v>2</v>
      </c>
      <c r="R77" s="227"/>
      <c r="S77" s="228"/>
      <c r="T77" s="41">
        <f t="shared" si="3"/>
        <v>1</v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8.15" customHeight="1" thickBot="1" x14ac:dyDescent="0.25">
      <c r="G80" s="259" t="str">
        <f>IF(G67="","",IF(B71="","",IF(H71="","",IF(B71&gt;3,G67,IF(H71&gt;3,B67,"")))))</f>
        <v>STEP CHALON 2</v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>STEP CHALON 1</v>
      </c>
      <c r="M80" s="260"/>
      <c r="N80" s="261"/>
      <c r="O80" s="40"/>
      <c r="P80" s="42"/>
      <c r="U80" s="42"/>
    </row>
    <row r="81" spans="6:21" s="36" customFormat="1" ht="22.15" customHeight="1" outlineLevel="1" x14ac:dyDescent="0.2">
      <c r="G81" s="229" t="str">
        <f>IF(G67="","",IF(B71="","",IF(H71="","",IF(B71&gt;3,G68,IF(H71&gt;3,B68,"")))))</f>
        <v>BOREY QUENTIN</v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SURGOT CELIA</v>
      </c>
      <c r="M81" s="230"/>
      <c r="N81" s="231"/>
      <c r="O81" s="37"/>
      <c r="P81" s="43"/>
      <c r="U81" s="43"/>
    </row>
    <row r="82" spans="6:21" s="36" customFormat="1" ht="22.15" customHeight="1" outlineLevel="1" x14ac:dyDescent="0.2">
      <c r="G82" s="229" t="str">
        <f>IF(G67="","",IF(B71="","",IF(H71="","",IF(B71&gt;3,G69,IF(H71&gt;3,B69,"")))))</f>
        <v>GERMAIN DAMIEN</v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DELHOMMELLE ETHAN</v>
      </c>
      <c r="M82" s="230"/>
      <c r="N82" s="231"/>
      <c r="O82" s="37"/>
      <c r="P82" s="43"/>
      <c r="U82" s="43"/>
    </row>
    <row r="83" spans="6:21" s="36" customFormat="1" ht="22.15" customHeight="1" outlineLevel="1" thickBot="1" x14ac:dyDescent="0.25">
      <c r="G83" s="229" t="str">
        <f>IF(G67="","",IF(B71="","",IF(H71="","",IF(B71&gt;3,G70,IF(H71&gt;3,B70,"")))))</f>
        <v>PRECHEUR MAXIME</v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BERNARD ETHAN</v>
      </c>
      <c r="M83" s="230"/>
      <c r="N83" s="231"/>
      <c r="O83" s="37"/>
      <c r="P83" s="43"/>
      <c r="U83" s="43"/>
    </row>
    <row r="84" spans="6:21" ht="22.15" customHeight="1" x14ac:dyDescent="0.2">
      <c r="F84" s="29">
        <f>IF(I84="","",IF(I84&gt;1,1,0))</f>
        <v>1</v>
      </c>
      <c r="G84" s="226">
        <f>IF(I84="","",SUM(F84:F90))</f>
        <v>3</v>
      </c>
      <c r="H84" s="235"/>
      <c r="I84" s="78">
        <v>3</v>
      </c>
      <c r="J84" s="257"/>
      <c r="K84" s="258"/>
      <c r="L84" s="78">
        <v>0</v>
      </c>
      <c r="M84" s="225">
        <f>IF(L84="","",SUM(O84:O90))</f>
        <v>4</v>
      </c>
      <c r="N84" s="226"/>
      <c r="O84" s="41">
        <f>IF(L84="","",IF(L84&gt;1,1,0))</f>
        <v>0</v>
      </c>
      <c r="P84" s="30"/>
      <c r="U84" s="30"/>
    </row>
    <row r="85" spans="6:21" ht="22.15" customHeight="1" x14ac:dyDescent="0.2">
      <c r="F85" s="29">
        <f t="shared" ref="F85:F90" si="4">IF(I85="","",IF(I85&gt;1,1,0))</f>
        <v>1</v>
      </c>
      <c r="G85" s="228"/>
      <c r="H85" s="236"/>
      <c r="I85" s="79">
        <v>2</v>
      </c>
      <c r="J85" s="223"/>
      <c r="K85" s="224"/>
      <c r="L85" s="79">
        <v>1</v>
      </c>
      <c r="M85" s="227"/>
      <c r="N85" s="228"/>
      <c r="O85" s="41">
        <f t="shared" ref="O85:O90" si="5">IF(L85="","",IF(L85&gt;1,1,0))</f>
        <v>0</v>
      </c>
      <c r="P85" s="30"/>
      <c r="U85" s="30"/>
    </row>
    <row r="86" spans="6:21" ht="22.15" customHeight="1" x14ac:dyDescent="0.2">
      <c r="F86" s="29">
        <f t="shared" si="4"/>
        <v>0</v>
      </c>
      <c r="G86" s="228"/>
      <c r="H86" s="236"/>
      <c r="I86" s="79">
        <v>0</v>
      </c>
      <c r="J86" s="223"/>
      <c r="K86" s="224"/>
      <c r="L86" s="79">
        <v>3</v>
      </c>
      <c r="M86" s="227"/>
      <c r="N86" s="228"/>
      <c r="O86" s="41">
        <f t="shared" si="5"/>
        <v>1</v>
      </c>
      <c r="P86" s="30"/>
      <c r="U86" s="30"/>
    </row>
    <row r="87" spans="6:21" ht="22.15" customHeight="1" x14ac:dyDescent="0.2">
      <c r="F87" s="29">
        <f t="shared" si="4"/>
        <v>0</v>
      </c>
      <c r="G87" s="228"/>
      <c r="H87" s="236"/>
      <c r="I87" s="79">
        <v>0</v>
      </c>
      <c r="J87" s="223"/>
      <c r="K87" s="224"/>
      <c r="L87" s="79">
        <v>3</v>
      </c>
      <c r="M87" s="227"/>
      <c r="N87" s="228"/>
      <c r="O87" s="41">
        <f t="shared" si="5"/>
        <v>1</v>
      </c>
      <c r="P87" s="30"/>
      <c r="U87" s="30"/>
    </row>
    <row r="88" spans="6:21" ht="22.15" customHeight="1" x14ac:dyDescent="0.2">
      <c r="F88" s="29">
        <f t="shared" si="4"/>
        <v>1</v>
      </c>
      <c r="G88" s="228"/>
      <c r="H88" s="236"/>
      <c r="I88" s="79">
        <v>2</v>
      </c>
      <c r="J88" s="223"/>
      <c r="K88" s="224"/>
      <c r="L88" s="79">
        <v>1</v>
      </c>
      <c r="M88" s="227"/>
      <c r="N88" s="228"/>
      <c r="O88" s="41">
        <f t="shared" si="5"/>
        <v>0</v>
      </c>
      <c r="P88" s="30"/>
      <c r="U88" s="30"/>
    </row>
    <row r="89" spans="6:21" ht="22.15" customHeight="1" x14ac:dyDescent="0.2">
      <c r="F89" s="29">
        <f t="shared" si="4"/>
        <v>0</v>
      </c>
      <c r="G89" s="228"/>
      <c r="H89" s="236"/>
      <c r="I89" s="79">
        <v>1</v>
      </c>
      <c r="J89" s="223"/>
      <c r="K89" s="224"/>
      <c r="L89" s="79">
        <v>2</v>
      </c>
      <c r="M89" s="227"/>
      <c r="N89" s="228"/>
      <c r="O89" s="41">
        <f t="shared" si="5"/>
        <v>1</v>
      </c>
      <c r="P89" s="30"/>
      <c r="U89" s="30"/>
    </row>
    <row r="90" spans="6:21" ht="22.15" customHeight="1" thickBot="1" x14ac:dyDescent="0.25">
      <c r="F90" s="29">
        <f t="shared" si="4"/>
        <v>0</v>
      </c>
      <c r="G90" s="228"/>
      <c r="H90" s="236"/>
      <c r="I90" s="80">
        <v>1</v>
      </c>
      <c r="J90" s="223"/>
      <c r="K90" s="224"/>
      <c r="L90" s="80">
        <v>2</v>
      </c>
      <c r="M90" s="227"/>
      <c r="N90" s="228"/>
      <c r="O90" s="41">
        <f t="shared" si="5"/>
        <v>1</v>
      </c>
      <c r="P90" s="30"/>
      <c r="U90" s="30"/>
    </row>
    <row r="91" spans="6:21" ht="15" customHeight="1" x14ac:dyDescent="0.2"/>
    <row r="92" spans="6:21" ht="60" customHeight="1" x14ac:dyDescent="0.2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8.1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15" customHeight="1" thickBot="1" x14ac:dyDescent="0.25">
      <c r="F94" s="39"/>
      <c r="G94" s="254" t="str">
        <f>IF(G67="",B67,IF(B71="","",IF(H71="","",IF(B71&gt;3,B67,IF(H71&gt;3,G67,"")))))</f>
        <v>TS CHATENOY 2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TS CHATENOY 1</v>
      </c>
      <c r="M94" s="255"/>
      <c r="N94" s="256"/>
      <c r="O94" s="38"/>
    </row>
    <row r="95" spans="6:21" ht="19.899999999999999" customHeight="1" outlineLevel="1" x14ac:dyDescent="0.2">
      <c r="F95" s="35"/>
      <c r="G95" s="251" t="str">
        <f>IF(G67="",B68,IF(B71="","",IF(H71="","",IF(B71&gt;3,B68,IF(H71&gt;3,G68,"")))))</f>
        <v>FAUTRELLE LUAN</v>
      </c>
      <c r="H95" s="252"/>
      <c r="I95" s="253"/>
      <c r="J95" s="136">
        <v>3</v>
      </c>
      <c r="K95" s="137">
        <v>4</v>
      </c>
      <c r="L95" s="251" t="str">
        <f>IF(L67="",Q68,IF(L71="","",IF(R71="","",IF(L71&gt;3,L68,IF(R71&gt;3,Q68,"")))))</f>
        <v>BROQUIE CLEMENCE</v>
      </c>
      <c r="M95" s="252"/>
      <c r="N95" s="253"/>
      <c r="O95" s="36"/>
    </row>
    <row r="96" spans="6:21" ht="19.899999999999999" customHeight="1" outlineLevel="1" x14ac:dyDescent="0.2">
      <c r="F96" s="35"/>
      <c r="G96" s="251" t="str">
        <f>IF(G67="",B69,IF(B71="","",IF(H71="","",IF(B71&gt;3,B69,IF(H71&gt;3,G69,"")))))</f>
        <v>BRANDAO GABIN</v>
      </c>
      <c r="H96" s="252"/>
      <c r="I96" s="253"/>
      <c r="J96" s="136">
        <v>5</v>
      </c>
      <c r="K96" s="137">
        <v>6</v>
      </c>
      <c r="L96" s="251" t="str">
        <f>IF(L67="",Q69,IF(L71="","",IF(R71="","",IF(L71&gt;3,L69,IF(R71&gt;3,Q69,"")))))</f>
        <v>GARNIER MARIUS</v>
      </c>
      <c r="M96" s="252"/>
      <c r="N96" s="253"/>
      <c r="O96" s="36"/>
    </row>
    <row r="97" spans="5:15" ht="19.899999999999999" customHeight="1" outlineLevel="1" thickBot="1" x14ac:dyDescent="0.25">
      <c r="F97" s="35"/>
      <c r="G97" s="251" t="str">
        <f>IF(G67="",B70,IF(B71="","",IF(H71="","",IF(B71&gt;3,B70,IF(H71&gt;3,G70,"")))))</f>
        <v>RADREAU JULES</v>
      </c>
      <c r="H97" s="252"/>
      <c r="I97" s="253"/>
      <c r="J97" s="136">
        <v>7</v>
      </c>
      <c r="K97" s="137">
        <v>8</v>
      </c>
      <c r="L97" s="251" t="str">
        <f>IF(L67="",Q70,IF(L71="","",IF(R71="","",IF(L71&gt;3,L70,IF(R71&gt;3,Q70,"")))))</f>
        <v>ANDRE JADE</v>
      </c>
      <c r="M97" s="252"/>
      <c r="N97" s="253"/>
      <c r="O97" s="36"/>
    </row>
    <row r="98" spans="5:15" ht="22.15" customHeight="1" x14ac:dyDescent="0.2">
      <c r="E98" s="30"/>
      <c r="F98" s="44">
        <f>IF(I98="","",IF(I98&gt;1,1,0))</f>
        <v>1</v>
      </c>
      <c r="G98" s="226">
        <f>IF(I98="","",SUM(F98:F104))</f>
        <v>4</v>
      </c>
      <c r="H98" s="235"/>
      <c r="I98" s="78">
        <v>2</v>
      </c>
      <c r="J98" s="257"/>
      <c r="K98" s="258"/>
      <c r="L98" s="78">
        <v>1</v>
      </c>
      <c r="M98" s="225">
        <f>IF(L98="","",SUM(O98:O104))</f>
        <v>3</v>
      </c>
      <c r="N98" s="226"/>
      <c r="O98" s="41">
        <f>IF(L98="","",IF(L98&gt;1,1,0))</f>
        <v>0</v>
      </c>
    </row>
    <row r="99" spans="5:15" ht="22.15" customHeight="1" x14ac:dyDescent="0.2">
      <c r="E99" s="30"/>
      <c r="F99" s="44">
        <f t="shared" ref="F99:F104" si="6">IF(I99="","",IF(I99&gt;1,1,0))</f>
        <v>0</v>
      </c>
      <c r="G99" s="228"/>
      <c r="H99" s="236"/>
      <c r="I99" s="79">
        <v>1</v>
      </c>
      <c r="J99" s="223"/>
      <c r="K99" s="224"/>
      <c r="L99" s="79">
        <v>2</v>
      </c>
      <c r="M99" s="227"/>
      <c r="N99" s="228"/>
      <c r="O99" s="41">
        <f t="shared" ref="O99:O104" si="7">IF(L99="","",IF(L99&gt;1,1,0))</f>
        <v>1</v>
      </c>
    </row>
    <row r="100" spans="5:15" ht="22.15" customHeight="1" x14ac:dyDescent="0.2">
      <c r="E100" s="30"/>
      <c r="F100" s="44">
        <f t="shared" si="6"/>
        <v>0</v>
      </c>
      <c r="G100" s="228"/>
      <c r="H100" s="236"/>
      <c r="I100" s="79">
        <v>1</v>
      </c>
      <c r="J100" s="223"/>
      <c r="K100" s="224"/>
      <c r="L100" s="79">
        <v>2</v>
      </c>
      <c r="M100" s="227"/>
      <c r="N100" s="228"/>
      <c r="O100" s="41">
        <f t="shared" si="7"/>
        <v>1</v>
      </c>
    </row>
    <row r="101" spans="5:15" ht="22.15" customHeight="1" x14ac:dyDescent="0.2">
      <c r="E101" s="30"/>
      <c r="F101" s="44">
        <f t="shared" si="6"/>
        <v>1</v>
      </c>
      <c r="G101" s="228"/>
      <c r="H101" s="236"/>
      <c r="I101" s="79">
        <v>2</v>
      </c>
      <c r="J101" s="223"/>
      <c r="K101" s="224"/>
      <c r="L101" s="79">
        <v>1</v>
      </c>
      <c r="M101" s="227"/>
      <c r="N101" s="228"/>
      <c r="O101" s="41">
        <f t="shared" si="7"/>
        <v>0</v>
      </c>
    </row>
    <row r="102" spans="5:15" ht="22.15" customHeight="1" x14ac:dyDescent="0.2">
      <c r="E102" s="30"/>
      <c r="F102" s="44">
        <f t="shared" si="6"/>
        <v>1</v>
      </c>
      <c r="G102" s="228"/>
      <c r="H102" s="236"/>
      <c r="I102" s="79">
        <v>2</v>
      </c>
      <c r="J102" s="223"/>
      <c r="K102" s="224"/>
      <c r="L102" s="79">
        <v>1</v>
      </c>
      <c r="M102" s="227"/>
      <c r="N102" s="228"/>
      <c r="O102" s="41">
        <f t="shared" si="7"/>
        <v>0</v>
      </c>
    </row>
    <row r="103" spans="5:15" ht="22.15" customHeight="1" x14ac:dyDescent="0.2">
      <c r="E103" s="30"/>
      <c r="F103" s="44">
        <f t="shared" si="6"/>
        <v>1</v>
      </c>
      <c r="G103" s="228"/>
      <c r="H103" s="236"/>
      <c r="I103" s="79">
        <v>3</v>
      </c>
      <c r="J103" s="223"/>
      <c r="K103" s="224"/>
      <c r="L103" s="79">
        <v>0</v>
      </c>
      <c r="M103" s="227"/>
      <c r="N103" s="228"/>
      <c r="O103" s="41">
        <f t="shared" si="7"/>
        <v>0</v>
      </c>
    </row>
    <row r="104" spans="5:15" ht="22.15" customHeight="1" thickBot="1" x14ac:dyDescent="0.25">
      <c r="E104" s="30"/>
      <c r="F104" s="44">
        <f t="shared" si="6"/>
        <v>0</v>
      </c>
      <c r="G104" s="228"/>
      <c r="H104" s="236"/>
      <c r="I104" s="80">
        <v>0</v>
      </c>
      <c r="J104" s="223"/>
      <c r="K104" s="224"/>
      <c r="L104" s="80">
        <v>3</v>
      </c>
      <c r="M104" s="227"/>
      <c r="N104" s="228"/>
      <c r="O104" s="41">
        <f t="shared" si="7"/>
        <v>1</v>
      </c>
    </row>
    <row r="105" spans="5:15" ht="28.15" customHeight="1" x14ac:dyDescent="0.2">
      <c r="E105" s="30"/>
    </row>
    <row r="106" spans="5:15" ht="28.15" customHeight="1" x14ac:dyDescent="0.2">
      <c r="E106" s="30"/>
    </row>
    <row r="107" spans="5:15" ht="28.15" customHeight="1" x14ac:dyDescent="0.2">
      <c r="E107" s="30"/>
    </row>
    <row r="108" spans="5:15" ht="28.15" customHeight="1" x14ac:dyDescent="0.2">
      <c r="E108" s="30"/>
    </row>
    <row r="109" spans="5:15" ht="28.15" customHeight="1" x14ac:dyDescent="0.2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15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15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BOURGOGNE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15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15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" customHeight="1" x14ac:dyDescent="0.2">
      <c r="A7" s="54">
        <v>1</v>
      </c>
      <c r="B7" s="55" t="str">
        <f>IF(A7="","",IF(P.F.!G98&gt;3,P.F.!G94,IF(P.F.!M98&gt;3,P.F.!L94,"")))</f>
        <v>TS CHATENOY 2</v>
      </c>
      <c r="C7" s="55"/>
      <c r="D7" s="57">
        <f>IF(A7="","",VLOOKUP(B7,'M Q'!B$5:T$20,2,0))</f>
        <v>471185</v>
      </c>
      <c r="E7" s="182">
        <f>IF(A7="","",VLOOKUP(B7,'M Q'!B$5:T$20,18,0))</f>
        <v>482.19999999999993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" customHeight="1" x14ac:dyDescent="0.2">
      <c r="A8" s="54">
        <f>IF(INFO!B8&gt;1,2,"")</f>
        <v>2</v>
      </c>
      <c r="B8" s="55" t="str">
        <f>IF(A8="","",IF(P.F.!G98&gt;3,P.F.!L94,IF(P.F.!M98&gt;3,P.F.!G94,"")))</f>
        <v>TS CHATENOY 1</v>
      </c>
      <c r="C8" s="55"/>
      <c r="D8" s="57">
        <f>IF(A8="","",VLOOKUP(B8,'M Q'!B$5:T$20,2,0))</f>
        <v>471185</v>
      </c>
      <c r="E8" s="182">
        <f>IF(A8="","",VLOOKUP(B8,'M Q'!B$5:T$20,18,0))</f>
        <v>453.09999999999997</v>
      </c>
      <c r="F8" s="75">
        <f>IF(A8="","",VLOOKUP(B8,'M Q'!B$5:T$20,19,0))</f>
        <v>0</v>
      </c>
      <c r="G8" s="283"/>
      <c r="H8" s="19"/>
    </row>
    <row r="9" spans="1:18" s="100" customFormat="1" ht="25.9" customHeight="1" x14ac:dyDescent="0.2">
      <c r="A9" s="54">
        <f>IF(INFO!B8&gt;2,3,"")</f>
        <v>3</v>
      </c>
      <c r="B9" s="56" t="str">
        <f>IF(A9="","",IF(INFO!B8=3,P.F.!L80,IF(P.F.!G84&gt;3,P.F.!G80,IF(P.F.!M84&gt;3,P.F.!L80,""))))</f>
        <v>STEP CHALON 1</v>
      </c>
      <c r="C9" s="56"/>
      <c r="D9" s="57">
        <f>IF(A9="","",VLOOKUP(B9,'M Q'!B$5:T$20,2,0))</f>
        <v>471126</v>
      </c>
      <c r="E9" s="182">
        <f>IF(A9="","",VLOOKUP(B9,'M Q'!B$5:T$20,18,0))</f>
        <v>403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5.9" customHeight="1" x14ac:dyDescent="0.2">
      <c r="A10" s="50">
        <f>IF(INFO!B8&gt;3,4,"")</f>
        <v>4</v>
      </c>
      <c r="B10" s="24" t="str">
        <f>IF(A10="","",IF(P.F.!G84&gt;3,P.F.!L80,IF(P.F.!M84&gt;3,P.F.!G80,"")))</f>
        <v>STEP CHALON 2</v>
      </c>
      <c r="C10" s="24"/>
      <c r="D10" s="57">
        <f>IF(A10="","",VLOOKUP(B10,'M Q'!B$5:T$20,2,0))</f>
        <v>471126</v>
      </c>
      <c r="E10" s="182">
        <f>IF(A10="","",VLOOKUP(B10,'M Q'!B$5:T$20,18,0))</f>
        <v>398.79999999999995</v>
      </c>
      <c r="F10" s="75">
        <f>IF(A10="","",VLOOKUP(B10,'M Q'!B$5:T$20,19,0))</f>
        <v>0</v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5.9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5.9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thierry THEVENET</cp:lastModifiedBy>
  <cp:lastPrinted>2014-10-14T08:39:11Z</cp:lastPrinted>
  <dcterms:created xsi:type="dcterms:W3CDTF">2004-11-19T11:01:00Z</dcterms:created>
  <dcterms:modified xsi:type="dcterms:W3CDTF">2017-01-14T15:40:52Z</dcterms:modified>
</cp:coreProperties>
</file>